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Аркуш1" sheetId="1" r:id="rId3"/>
  </sheets>
  <definedNames>
    <definedName hidden="1" localSheetId="0" name="_xlnm._FilterDatabase">'Аркуш1'!$A$3:$L$1998</definedName>
  </definedNames>
  <calcPr/>
</workbook>
</file>

<file path=xl/sharedStrings.xml><?xml version="1.0" encoding="utf-8"?>
<sst xmlns="http://schemas.openxmlformats.org/spreadsheetml/2006/main" count="15" uniqueCount="15">
  <si>
    <t>Інформація про атестовані лабораторії</t>
  </si>
  <si>
    <t>Відомості про лабораторію</t>
  </si>
  <si>
    <t>Перелік факторів</t>
  </si>
  <si>
    <t xml:space="preserve">№ </t>
  </si>
  <si>
    <t>повне найменування лабораторії або прізвище, ім’я, по батькові фізичної особи-підприємця</t>
  </si>
  <si>
    <t>область</t>
  </si>
  <si>
    <t>назва населеного пункту</t>
  </si>
  <si>
    <t>адреса</t>
  </si>
  <si>
    <t>телефон</t>
  </si>
  <si>
    <t>фізичні фактори</t>
  </si>
  <si>
    <t>хімічні фактори</t>
  </si>
  <si>
    <t>біологічні фактори</t>
  </si>
  <si>
    <t>фактори трудового процесу</t>
  </si>
  <si>
    <t>дата внесення до інформаційного переліку лабораторій</t>
  </si>
  <si>
    <t>дата виключення з інформаційного переліку лабораторій</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</si>
</sst>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dd.mm.yyyy"/>
  </numFmts>
  <fonts count="11">
    <font>
      <sz val="10.0"/>
      <color rgb="FF000000"/>
      <name val="Arial"/>
    </font>
    <font>
      <b/>
      <sz val="14.0"/>
      <name val="Arial"/>
    </font>
    <font>
      <sz val="14.0"/>
    </font>
    <font>
      <b/>
      <sz val="10.0"/>
      <color rgb="FF292B2C"/>
      <name val="Arial"/>
    </font>
    <font/>
    <font>
      <b/>
      <sz val="10.0"/>
      <color rgb="FF000000"/>
      <name val="Arial"/>
    </font>
    <font>
      <name val="Inconsolata"/>
    </font>
    <font>
      <sz val="11.0"/>
      <color rgb="FF000000"/>
      <name val="Inconsolata"/>
    </font>
    <font>
      <sz val="10.0"/>
      <color rgb="FF000000"/>
      <name val="Times New Roman"/>
    </font>
    <font>
      <sz val="11.0"/>
      <color rgb="FF333333"/>
      <name val="Inconsolata"/>
    </font>
    <font>
      <sz val="10.0"/>
      <name val="Times New Roman"/>
    </font>
  </fonts>
  <fills count="4">
    <fill>
      <patternFill patternType="none"/>
    </fill>
    <fill>
      <patternFill patternType="lightGray"/>
    </fill>
    <fill>
      <patternFill patternType="solid">
        <fgColor rgb="FFFFFFFF"/>
        <bgColor rgb="FFFFFFFF"/>
      </patternFill>
    </fill>
    <fill>
      <patternFill patternType="solid">
        <fgColor rgb="FFEEEEEE"/>
        <bgColor rgb="FFEEEEEE"/>
      </patternFill>
    </fill>
  </fills>
  <borders count="6">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right style="thin">
        <color rgb="FF000000"/>
      </right>
      <bottom style="thin">
        <color rgb="FF000000"/>
      </bottom>
    </border>
  </borders>
  <cellStyleXfs count="1">
    <xf borderId="0" fillId="0" fontId="0" numFmtId="0" applyAlignment="1" applyFont="1"/>
  </cellStyleXfs>
  <cellXfs count="19">
    <xf borderId="0" fillId="0" fontId="0" numFmtId="0" xfId="0" applyAlignment="1" applyFont="1">
      <alignment readingOrder="0" shrinkToFit="0" vertical="bottom" wrapText="0"/>
    </xf>
    <xf borderId="0" fillId="2" fontId="1" numFmtId="0" xfId="0" applyAlignment="1" applyFill="1" applyFont="1">
      <alignment horizontal="center" readingOrder="0" shrinkToFit="0" wrapText="1"/>
    </xf>
    <xf borderId="0" fillId="0" fontId="2" numFmtId="0" xfId="0" applyFont="1"/>
    <xf borderId="1" fillId="2" fontId="3" numFmtId="0" xfId="0" applyAlignment="1" applyBorder="1" applyFont="1">
      <alignment horizontal="center" readingOrder="0" shrinkToFit="0" vertical="center" wrapText="1"/>
    </xf>
    <xf borderId="2" fillId="0" fontId="4" numFmtId="0" xfId="0" applyBorder="1" applyFont="1"/>
    <xf borderId="3" fillId="0" fontId="4" numFmtId="0" xfId="0" applyBorder="1" applyFont="1"/>
    <xf borderId="2" fillId="2" fontId="3" numFmtId="0" xfId="0" applyAlignment="1" applyBorder="1" applyFont="1">
      <alignment horizontal="center" readingOrder="0" shrinkToFit="0" vertical="center" wrapText="1"/>
    </xf>
    <xf borderId="3" fillId="2" fontId="3" numFmtId="0" xfId="0" applyAlignment="1" applyBorder="1" applyFont="1">
      <alignment horizontal="center" readingOrder="0" shrinkToFit="0" vertical="center" wrapText="1"/>
    </xf>
    <xf borderId="4" fillId="2" fontId="3" numFmtId="0" xfId="0" applyAlignment="1" applyBorder="1" applyFont="1">
      <alignment horizontal="center" readingOrder="0" shrinkToFit="0" vertical="center" wrapText="1"/>
    </xf>
    <xf borderId="5" fillId="2" fontId="3" numFmtId="0" xfId="0" applyAlignment="1" applyBorder="1" applyFont="1">
      <alignment horizontal="center" readingOrder="0" shrinkToFit="0" vertical="center" wrapText="1"/>
    </xf>
    <xf borderId="5" fillId="2" fontId="5" numFmtId="0" xfId="0" applyAlignment="1" applyBorder="1" applyFont="1">
      <alignment horizontal="center" readingOrder="0" shrinkToFit="0" vertical="center" wrapText="1"/>
    </xf>
    <xf borderId="0" fillId="0" fontId="6" numFmtId="0" xfId="0" applyAlignment="1" applyFont="1">
      <alignment horizontal="center" readingOrder="0" shrinkToFit="0" vertical="center" wrapText="1"/>
    </xf>
    <xf borderId="0" fillId="2" fontId="7" numFmtId="0" xfId="0" applyAlignment="1" applyFont="1">
      <alignment horizontal="center" shrinkToFit="0" vertical="center" wrapText="1"/>
    </xf>
    <xf borderId="0" fillId="2" fontId="8" numFmtId="0" xfId="0" applyAlignment="1" applyFont="1">
      <alignment horizontal="center" shrinkToFit="0" vertical="center" wrapText="1"/>
    </xf>
    <xf borderId="0" fillId="2" fontId="8" numFmtId="164" xfId="0" applyAlignment="1" applyFont="1" applyNumberFormat="1">
      <alignment horizontal="center" shrinkToFit="0" vertical="center" wrapText="1"/>
    </xf>
    <xf borderId="0" fillId="3" fontId="9" numFmtId="0" xfId="0" applyAlignment="1" applyFill="1" applyFont="1">
      <alignment horizontal="center" shrinkToFit="0" vertical="center" wrapText="1"/>
    </xf>
    <xf borderId="0" fillId="0" fontId="6" numFmtId="0" xfId="0" applyAlignment="1" applyFont="1">
      <alignment horizontal="center" shrinkToFit="0" vertical="center" wrapText="1"/>
    </xf>
    <xf borderId="0" fillId="0" fontId="10" numFmtId="0" xfId="0" applyAlignment="1" applyFont="1">
      <alignment horizontal="center" shrinkToFit="0" vertical="center" wrapText="1"/>
    </xf>
    <xf borderId="0" fillId="0" fontId="10" numFmtId="164" xfId="0" applyAlignment="1" applyFont="1" applyNumberFormat="1">
      <alignment horizontal="center" shrinkToFit="0" vertical="center" wrapText="1"/>
    </xf>
  </cellXfs>
  <cellStyles count="1">
    <cellStyle xfId="0" name="Normal" builtinId="0"/>
  </cellStyles>
  <dxfs count="2">
    <dxf>
      <font>
        <b/>
        <color rgb="FF274E13"/>
      </font>
      <fill>
        <patternFill patternType="solid">
          <fgColor rgb="FFE8E8E8"/>
          <bgColor rgb="FFE8E8E8"/>
        </patternFill>
      </fill>
      <border/>
    </dxf>
    <dxf>
      <font/>
      <fill>
        <patternFill patternType="solid">
          <fgColor rgb="FFEFEFEF"/>
          <bgColor rgb="FFEFEFEF"/>
        </patternFill>
      </fill>
      <border/>
    </dxf>
  </dxfs>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3.0" topLeftCell="A4" activePane="bottomLeft" state="frozen"/>
      <selection activeCell="B5" sqref="B5" pane="bottomLeft"/>
    </sheetView>
  </sheetViews>
  <sheetFormatPr customHeight="1" defaultColWidth="14.43" defaultRowHeight="15.75" outlineLevelCol="1"/>
  <cols>
    <col customWidth="1" min="1" max="1" width="5.57"/>
    <col customWidth="1" min="2" max="2" width="27.57"/>
    <col customWidth="1" min="3" max="3" width="14.14"/>
    <col customWidth="1" min="4" max="4" width="14.71"/>
    <col customWidth="1" min="5" max="5" width="15.86"/>
    <col customWidth="1" min="6" max="6" width="11.71"/>
    <col customWidth="1" min="7" max="7" width="21.71" outlineLevel="1"/>
    <col customWidth="1" min="8" max="8" width="164.29" outlineLevel="1"/>
    <col customWidth="1" min="9" max="9" width="12.29" outlineLevel="1"/>
    <col customWidth="1" min="10" max="10" width="16.14" outlineLevel="1"/>
    <col customWidth="1" min="11" max="11" width="19.29"/>
    <col customWidth="1" min="12" max="12" width="18.71"/>
    <col hidden="1" min="13" max="27" width="14.43"/>
  </cols>
  <sheetData>
    <row r="1">
      <c r="A1" s="1" t="s">
        <v>0</v>
      </c>
      <c r="M1" s="2"/>
      <c r="N1" s="2"/>
      <c r="O1" s="2"/>
      <c r="P1" s="2"/>
      <c r="Q1" s="2"/>
      <c r="R1" s="2"/>
      <c r="S1" s="2"/>
      <c r="T1" s="2"/>
      <c r="U1" s="2"/>
      <c r="V1" s="2"/>
      <c r="W1" s="2"/>
      <c r="X1" s="2"/>
      <c r="Y1" s="2"/>
      <c r="Z1" s="2"/>
      <c r="AA1" s="2"/>
    </row>
    <row r="2" ht="16.5" customHeight="1">
      <c r="A2" s="3" t="s">
        <v>1</v>
      </c>
      <c r="B2" s="4"/>
      <c r="C2" s="4"/>
      <c r="D2" s="4"/>
      <c r="E2" s="4"/>
      <c r="F2" s="5"/>
      <c r="G2" s="3" t="s">
        <v>2</v>
      </c>
      <c r="H2" s="4"/>
      <c r="I2" s="4"/>
      <c r="J2" s="4"/>
      <c r="K2" s="6"/>
      <c r="L2" s="7"/>
    </row>
    <row r="3">
      <c r="A3" s="8" t="s">
        <v>3</v>
      </c>
      <c r="B3" s="9" t="s">
        <v>4</v>
      </c>
      <c r="C3" s="9" t="s">
        <v>5</v>
      </c>
      <c r="D3" s="9" t="s">
        <v>6</v>
      </c>
      <c r="E3" s="9" t="s">
        <v>7</v>
      </c>
      <c r="F3" s="10" t="s">
        <v>8</v>
      </c>
      <c r="G3" s="10" t="s">
        <v>9</v>
      </c>
      <c r="H3" s="9" t="s">
        <v>10</v>
      </c>
      <c r="I3" s="10" t="s">
        <v>11</v>
      </c>
      <c r="J3" s="10" t="s">
        <v>12</v>
      </c>
      <c r="K3" s="8" t="s">
        <v>13</v>
      </c>
      <c r="L3" s="8" t="s">
        <v>14</v>
      </c>
    </row>
    <row r="4">
      <c r="A4" s="11">
        <v>1.0</v>
      </c>
      <c r="B4" s="12" t="str">
        <f>IFERROR(__xludf.DUMMYFUNCTION("QUERY( ImportRange( ""1_YsUzcjiDtCypswr8Me5aYW1XHZOcxNj_bh78al-sGo"",""#1!A3:AQ2000"" ), ""select Col5 where Col43 = 0"")"),"ДП ""Київський експертно - технічний центр Держпраці"" Санітарно-гігієнічна лабораторія ""Охорона праці"" ")</f>
        <v>ДП "Київський експертно - технічний центр Держпраці" Санітарно-гігієнічна лабораторія "Охорона праці" </v>
      </c>
      <c r="C4" s="12" t="str">
        <f>IFERROR(__xludf.DUMMYFUNCTION("QUERY( ImportRange( ""1_YsUzcjiDtCypswr8Me5aYW1XHZOcxNj_bh78al-sGo"",""#1!A3:AQ2000"" ), ""select Col6 where Col43 = 0"")"),"Київська")</f>
        <v>Київська</v>
      </c>
      <c r="D4" s="12" t="str">
        <f>IFERROR(__xludf.DUMMYFUNCTION("QUERY( ImportRange( ""1_YsUzcjiDtCypswr8Me5aYW1XHZOcxNj_bh78al-sGo"",""#1!A3:AQ2000"" ), ""select Col7 where Col43 = 0"")"),"Київ")</f>
        <v>Київ</v>
      </c>
      <c r="E4" s="12" t="str">
        <f>IFERROR(__xludf.DUMMYFUNCTION("QUERY( ImportRange( ""1_YsUzcjiDtCypswr8Me5aYW1XHZOcxNj_bh78al-sGo"",""#1!A3:AQ2000"" ), ""select Col8 where Col43 = 0"")"),"вул. Ливарська, 1-А")</f>
        <v>вул. Ливарська, 1-А</v>
      </c>
      <c r="F4" s="13" t="str">
        <f>IFERROR(__xludf.DUMMYFUNCTION("QUERY( ImportRange( ""1_YsUzcjiDtCypswr8Me5aYW1XHZOcxNj_bh78al-sGo"",""#1!A3:AQ2000"" ), ""select Col9 where Col43 = 0"")"),"044-454-10-23")</f>
        <v>044-454-10-23</v>
      </c>
      <c r="G4" s="13" t="str">
        <f>IFERROR(__xludf.DUMMYFUNCTION("QUERY( ImportRange( ""1_YsUzcjiDtCypswr8Me5aYW1XHZOcxNj_bh78al-sGo"",""#1!A3:AQ2000"" ), ""select Col16 where Col43 = 0"")"),"Вібрація загальна та локальна,Шум,Інфразвук,Неіонізуюче випромінювання,Іонізуюче випромінювання,Мікроклімат,Освітлення,Атмосферний тиск")</f>
        <v>Вібрація загальна та локальна,Шум,Інфразвук,Неіонізуюче випромінювання,Іонізуюче випромінювання,Мікроклімат,Освітлення,Атмосферний тиск</v>
      </c>
      <c r="H4" s="13" t="str">
        <f>IFERROR(__xludf.DUMMYFUNCTION("QUERY( ImportRange( ""1_YsUzcjiDtCypswr8Me5aYW1XHZOcxNj_bh78al-sGo"",""#1!A3:AQ2000"" ), ""select Col18 where Col43 = 0"")"),"Азота диоксид,Азота оксид (IV) в перерарасчете на (NO2),Алюминий и його сплавы,Аммиак,Ангидрид борный,Ангидрид сернистый,Ангидрид хромовый,Ацетон,Бензин,Бензол,Бутилацетат,Водорода хлорид,Водород фтористий (в пересчете на F),Эпихлоргидрин,Этилацетат ,Этил"&amp;"ена оксид,Капролактам ,Кислота уксусная,Кислота серная,Кобальт и его неорганические соединения,Ксилол (мета-,орто-, пара-),Медь,Масла минеральные нефтяные,Натрия гидрокарбонат,Натрия карбонат,Нафталин,Никель,Озон,Пропилена оксид,Ртуть,Сероводород,Свинец и"&amp;" его неорганические соединения (по свинцу),Сода кальцинированная,Синтетические моющие средства „Лотос”,”Ера”,”Ока” ,Спирт этиловий,Спирт метиловий,Толуол,Углеводороды алифатические предельные,Углерода оксид,Фториди алюминия, магния, кальция, стронция, мед"&amp;"и, хрома;,Фенол,Формальдегид,Хлор,Хроматы, бихроматы,Цинка оксид,Щелочи едкие (растворы в перерасчете на NaOH),Алюминий и его сплавы (в перерасчете на алюминий),Алюминия оксид с примесью свободного диоксида кремния до 15% и оксида железа до 10% ( в виде а"&amp;"ерозоля конденсации),Алюминия оксид с примесью диоксида кремния ( в виде аерозоля конденсации),Борный ангидрид,Борная кислота,Вольфрам,Кобальт ,Кобальта оксид ,Марганець в сварочном аэрозоле: (до 20% и 20-30%),Фтористо водородной кислоти соли: фториди нат"&amp;"рия, калия, аммония,,цинка, олова, серебра, лития, бария, криолита, гидрофторида аммония,Хрома оксид,Цинк и цинка оксид,Алюминия оксид с примесью свободного диоксида кремния до 15% и оксида железа до 10% ( в виде аэрозоля конденсации),Алюминия оксид в вид"&amp;"е аэрозоля дезинтеграции (глинозем, электрокорунд, монокорунд),Известняк,Корунд белый,Кремния диоксид аморфный в виде аэрозоля конденсации при содержании: больше 60 %,Кремния диоксид аморфный в виде аэрозоля конденсации при содержании 60-10 %,Кремния диок"&amp;"сид аморфный в виде аэрозоля конденсации при содержании меньше 10 %,Кремния диоксид аморфный в виде аэрозоля дезинтеграции (диатомит, кварцевое стекло, плавленый кварц, трепел);,Кремния диоксид кристаллический (кварц, кристобелит, тридимит) при содержании"&amp;"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сл"&amp;"анцы, медно сульфидные руды и др.),Кремния карбид (карборунд).,Поливинилхлорид,Полимеры и сополимеры на основе акриловых и метакриловых мономеров,Полипропилен,Полиэтилен,Чугун в смесе с електрокорундом до 20%,Зерновая,Мучная, древесная и др. (с примесью д"&amp;"иоксида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10 %"&amp;"),Асбест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10 %,Искусственные минеральные волокна силикатные и алюмосиликатные стеклообразной структуры,Ц"&amp;"емент, оливин, апатит, форстерит, глина, шамот каолиновый,Антрацит с содержанием свободного диоксида кремния до 5 %,Сажи черные промышленные с содержанием бензапирена не более 35 мг на 1 кг")</f>
        <v>Азота диоксид,Азота оксид (IV) в перерарасчете на (NO2),Алюминий и його сплавы,Аммиак,Ангидрид борный,Ангидрид сернистый,Ангидрид хромовый,Ацетон,Бензин,Бензол,Бутилацетат,Водорода хлорид,Водород фтористий (в пересчете на F),Эпихлоргидрин,Этилацетат ,Этилена оксид,Капролактам ,Кислота уксусная,Кислота серная,Кобальт и его неорганические соединения,Ксилол (мета-,орто-, пара-),Медь,Масла минеральные нефтяные,Натрия гидрокарбонат,Натрия карбонат,Нафталин,Никель,Озон,Пропилена оксид,Ртуть,Сероводород,Свинец и его неорганические соединения (по свинцу),Сода кальцинированная,Синтетические моющие средства „Лотос”,”Ера”,”Ока” ,Спирт этиловий,Спирт метиловий,Толуол,Углеводороды алифатические предельные,Углерода оксид,Фториди алюминия, магния, кальция, стронция, меди, хрома;,Фенол,Формальдегид,Хлор,Хроматы, бихроматы,Цинка оксид,Щелочи едкие (растворы в перерасчете на NaOH),Алюминий и его сплавы (в перерасчете на алюминий),Алюминия оксид с примесью свободного диоксида кремния до 15% и оксида железа до 10% ( в виде аерозоля конденсации),Алюминия оксид с примесью диоксида кремния ( в виде аерозоля конденсации),Борный ангидрид,Борная кислота,Вольфрам,Кобальт ,Кобальта оксид ,Марганець в сварочном аэрозоле: (до 20% и 20-30%),Фтористо водородной кислоти соли: фториди натрия, калия, аммония,,цинка, олова, серебра, лития, бария, криолита, гидрофторида аммония,Хрома оксид,Цинк и цинка оксид,Алюминия оксид с примесью свободного диоксида кремния до 15% и оксида железа до 10% ( в виде аэрозоля конденсации),Алюминия оксид в виде аэрозоля дезинтеграции (глинозем, электрокорунд, монокорунд),Известняк,Корунд белый,Кремния диоксид аморфный в виде аэрозоля конденсации при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аморфный в виде аэрозоля дезинтеграции (диатомит, кварцевое стекло, плавленый кварц, трепел);,Кремния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др.),Кремния карбид (карборунд).,Поливинилхлорид,Полимеры и сополимеры на основе акриловых и метакриловых мономеров,Полипропилен,Полиэтилен,Чугун в смесе с електрокорундом до 20%,Зерновая,Мучная,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10 %,Искусственные минеральные волокна силикатные и алюмосиликатные стеклообразной структуры,Цемент, оливин, апатит, форстерит, глина, шамот каолиновый,Антрацит с содержанием свободного диоксида кремния до 5 %,Сажи черные промышленные с содержанием бензапирена не более 35 мг на 1 кг</v>
      </c>
      <c r="I4" s="13" t="str">
        <f>IFERROR(__xludf.DUMMYFUNCTION("QUERY( ImportRange( ""1_YsUzcjiDtCypswr8Me5aYW1XHZOcxNj_bh78al-sGo"",""#1!A3:AQ2000"" ), ""select Col20 where Col43 = 0"")"),"")</f>
        <v/>
      </c>
      <c r="J4" s="13" t="str">
        <f>IFERROR(__xludf.DUMMYFUNCTION("QUERY( ImportRange( ""1_YsUzcjiDtCypswr8Me5aYW1XHZOcxNj_bh78al-sGo"",""#1!A3:AQ2000"" ), ""select Col22 where Col43 = 0"")"),"Важкість праці,Напруженість праці")</f>
        <v>Важкість праці,Напруженість праці</v>
      </c>
      <c r="K4" s="14">
        <f>IFERROR(__xludf.DUMMYFUNCTION("QUERY( ImportRange( ""1_YsUzcjiDtCypswr8Me5aYW1XHZOcxNj_bh78al-sGo"",""#1!A3:AQ2000"" ), ""select Col24 where Col43 = 0"")"),43354.0)</f>
        <v>43354</v>
      </c>
      <c r="L4" s="14" t="str">
        <f>IFERROR(__xludf.DUMMYFUNCTION("QUERY( ImportRange( ""1_YsUzcjiDtCypswr8Me5aYW1XHZOcxNj_bh78al-sGo"",""#1!A3:AQ2000"" ), ""select Col26 where Col43 = 0"")"),"")</f>
        <v/>
      </c>
    </row>
    <row r="5">
      <c r="A5" s="11">
        <f t="shared" ref="A5:A1998" si="1">if(isblank(B5),"",A4+1)</f>
        <v>2</v>
      </c>
      <c r="B5" s="15" t="str">
        <f>IFERROR(__xludf.DUMMYFUNCTION("""COMPUTED_VALUE"""),"Краматорська міська філія ДУ ""Донецький обласний лабораторний центр МОЗ України""")</f>
        <v>Краматорська міська філія ДУ "Донецький обласний лабораторний центр МОЗ України"</v>
      </c>
      <c r="C5" s="16" t="str">
        <f>IFERROR(__xludf.DUMMYFUNCTION("""COMPUTED_VALUE"""),"Донецька")</f>
        <v>Донецька</v>
      </c>
      <c r="D5" s="16" t="str">
        <f>IFERROR(__xludf.DUMMYFUNCTION("""COMPUTED_VALUE"""),"Краматорськ")</f>
        <v>Краматорськ</v>
      </c>
      <c r="E5" s="16" t="str">
        <f>IFERROR(__xludf.DUMMYFUNCTION("""COMPUTED_VALUE"""),"вул. Аероклубна, 2")</f>
        <v>вул. Аероклубна, 2</v>
      </c>
      <c r="F5" s="17" t="str">
        <f>IFERROR(__xludf.DUMMYFUNCTION("""COMPUTED_VALUE"""),"06264-1-72-10      ")</f>
        <v>06264-1-72-10      </v>
      </c>
      <c r="G5" s="17" t="str">
        <f>IFERROR(__xludf.DUMMYFUNCTION("""COMPUTED_VALUE"""),"Вібрація загальна та локальна,Шум,Неіонізуюче випромінювання,Іонізуюче випромінювання,Мікроклімат,Освітлення,Атмосферний тиск")</f>
        <v>Вібрація загальна та локальна,Шум,Неіонізуюче випромінювання,Іонізуюче випромінювання,Мікроклімат,Освітлення,Атмосферний тиск</v>
      </c>
      <c r="H5" s="17" t="str">
        <f>IFERROR(__xludf.DUMMYFUNCTION("""COMPUTED_VALUE"""),"Азота оксид (IV) в перерарасчете на (NO2),Акролеин,Алюминий и його сплавы,Аммиак,Ангидрид сернистый,Ангидрид хромовый,Ацетон,Бензин,Бензол,Бенз(а)пирен,Водорода хлорид,Водород фтористий (в пересчете на F),Кислота уксусная,Кислота серная,Ксилол (мета-,орто"&amp;"-, пара-),Медь,Масла минеральные нефтяные,Никель,Никеля соли в виде гидроаэрозоля (по Ni),Озон,Ртуть,Сероводород,Свинец и его неорганические соединения (по свинцу),Стирол,Толуол,Уайт-спирит (в пересчете на С),Углеводороды алифатические предельные,Углерода"&amp;" оксид,Фенол,Формальдегид,Фенолформальдегидные смолы по фенолу,Фенолформальдегидные смолы формальдегиду,Хлор,Хроматы, бихроматы,Хрома оксид (по Cr+3),Цинка оксид,Щелочи едкие (растворы в перерасчете на NaOH),Алюминий и его сплавы (в перерасчете на алюмини"&amp;"й),Марганець в сварочном аэрозоле: (до 20% и 20-30%),цинка, олова, серебра, лития, бария, криолита, гидрофторида аммония,Хрома оксид,Цинк и цинка оксид,Кремния диоксид аморфный в виде аэрозоля конденсации при содержании меньше 10 %,Кремния диоксид аморфны"&amp;"й в виде аэрозоля дезинтеграции (диатомит, кварцевое стекло, плавленый кварц, трепел);,Кремния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в"&amp;"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др.),Зерновая,Мучная, древесная и др. (с примесью диоксида кр"&amp;"емния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10 %),Силикатс"&amp;"одержащие пыли, силикаты, алюмосиликаты при содержании асбеста менее 10%; асбестоцемент,Силикатсодержащие пыли, силикаты, алюмосиликаты при содержанииасбеста от 10 до 20%
,Силикатсодержащие пыли, силикаты, алюмосиликаты асбесты природные (хризолит, актофи"&amp;"ллит, эктинолит, тремолит, магнезиарфведсонит) и синтетическиеасбесты, а такжесмешанныеасбестопородныепыли при содержании в них асбестаболее 20%;
,Асбестобакелит, асбесторезина,Силикаты стеклообразные вулканического происхождения (туфы, пемза, перлит) ,С"&amp;"люды,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искусств"&amp;"енные)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10%,Сажи черные промышленные с содержа"&amp;"нием бензапирена не более 35 мг на 1 кг,Углеродные волокнистые материалы на основе гидрат целлюлозных волокон")</f>
        <v>Азота оксид (IV) в перерарасчете на (NO2),Акролеин,Алюминий и його сплавы,Аммиак,Ангидрид сернистый,Ангидрид хромовый,Ацетон,Бензин,Бензол,Бенз(а)пирен,Водорода хлорид,Водород фтористий (в пересчете на F),Кислота уксусная,Кислота серная,Ксилол (мета-,орто-, пара-),Медь,Масла минеральные нефтяные,Никель,Никеля соли в виде гидроаэрозоля (по Ni),Озон,Ртуть,Сероводород,Свинец и его неорганические соединения (по свинцу),Стирол,Толуол,Уайт-спирит (в пересчете на С),Углеводороды алифатические предельные,Углерода оксид,Фенол,Формальдегид,Фенолформальдегидные смолы по фенолу,Фенолформальдегидные смолы формальдегиду,Хлор,Хроматы, бихроматы,Хрома оксид (по Cr+3),Цинка оксид,Щелочи едкие (растворы в перерасчете на NaOH),Алюминий и его сплавы (в перерасчете на алюминий),Марганець в сварочном аэрозоле: (до 20% и 20-30%),цинка, олова, серебра, лития, бария, криолита, гидрофторида аммония,Хрома оксид,Цинк и цинка оксид,Кремния диоксид аморфный в виде аэрозоля конденсации при содержании меньше 10 %,Кремния диоксид аморфный в виде аэрозоля дезинтеграции (диатомит, кварцевое стекло, плавленый кварц, трепел);,Кремния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10 %),Силикатсодержащие пыли, силикаты, алюмосиликаты при содержании асбеста менее 10%; асбестоцемент,Силикатсодержащие пыли, силикаты, алюмосиликаты при содержанииасбеста от 10 до 20%
,Силикатсодержащие пыли, силикаты, алюмосиликаты асбесты природные (хризолит, актофиллит, эктинолит, тремолит, магнезиарфведсонит) и синтетическиеасбесты, а такжесмешанныеасбестопородныепыли при содержании в них асбестаболее 20%;
,Асбестобакелит,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10%,Сажи черные промышленные с содержанием бензапирена не более 35 мг на 1 кг,Углеродные волокнистые материалы на основе гидрат целлюлозных волокон</v>
      </c>
      <c r="I5" s="17" t="str">
        <f>IFERROR(__xludf.DUMMYFUNCTION("""COMPUTED_VALUE"""),"")</f>
        <v/>
      </c>
      <c r="J5" s="17" t="str">
        <f>IFERROR(__xludf.DUMMYFUNCTION("""COMPUTED_VALUE"""),"Важкість праці,Напруженість праці")</f>
        <v>Важкість праці,Напруженість праці</v>
      </c>
      <c r="K5" s="18">
        <f>IFERROR(__xludf.DUMMYFUNCTION("""COMPUTED_VALUE"""),43363.0)</f>
        <v>43363</v>
      </c>
      <c r="L5" s="18" t="str">
        <f>IFERROR(__xludf.DUMMYFUNCTION("""COMPUTED_VALUE"""),"")</f>
        <v/>
      </c>
    </row>
    <row r="6">
      <c r="A6" s="11">
        <f t="shared" si="1"/>
        <v>3</v>
      </c>
      <c r="B6" s="16" t="str">
        <f>IFERROR(__xludf.DUMMYFUNCTION("""COMPUTED_VALUE"""),"ДУ ""Інститут медицини праці імені Ю.І. Кундієва Національної академії медичних наук України""")</f>
        <v>ДУ "Інститут медицини праці імені Ю.І. Кундієва Національної академії медичних наук України"</v>
      </c>
      <c r="C6" s="16" t="str">
        <f>IFERROR(__xludf.DUMMYFUNCTION("""COMPUTED_VALUE"""),"Київська")</f>
        <v>Київська</v>
      </c>
      <c r="D6" s="16" t="str">
        <f>IFERROR(__xludf.DUMMYFUNCTION("""COMPUTED_VALUE"""),"Київ")</f>
        <v>Київ</v>
      </c>
      <c r="E6" s="16" t="str">
        <f>IFERROR(__xludf.DUMMYFUNCTION("""COMPUTED_VALUE"""),"вул. Саксаганського, 75")</f>
        <v>вул. Саксаганського, 75</v>
      </c>
      <c r="F6" s="17" t="str">
        <f>IFERROR(__xludf.DUMMYFUNCTION("""COMPUTED_VALUE"""),"044-289-66-77")</f>
        <v>044-289-66-77</v>
      </c>
      <c r="G6" s="17" t="str">
        <f>IFERROR(__xludf.DUMMYFUNCTION("""COMPUTED_VALUE"""),"Вібрація загальна та локальна,Шум,Ультразвук,Інфразвук,Неіонізуюче випромінювання,Мікроклімат,Освітлення,Атмосферний тиск")</f>
        <v>Вібрація загальна та локальна,Шум,Ультразвук,Інфразвук,Неіонізуюче випромінювання,Мікроклімат,Освітлення,Атмосферний тиск</v>
      </c>
      <c r="H6" s="17" t="str">
        <f>IFERROR(__xludf.DUMMYFUNCTION("""COMPUTED_VALUE"""),"Азота диоксид,Акрилонитрил,Акролеин,Алюминий и його сплавы,Алюминия  оксид в смеси со сплавом никеля до 15% (электрокорунд),Амилацетат,Аминопласты (пресс-порошки),Аммиак,Ангидрид сернистый,Ангидрид фосфорный,Ангидрид хромовый,Ацетон,Ацетальдегид,Бензол,Бу"&amp;"тилацетат,Винилацетат,Винила хлорид,Водорода хлорид,Водород фосфористый (фосфин),Дивинил,Искусственное поликристаллическое глиноземистое волокно, в т.ч. с содержанием до 0,5% оксида хрома (ІІІ),Электрокорунд, электрокорунд хромистый,Эпихлоргидрин,Этиленгл"&amp;"иколь,Этилацетат ,Этилена оксид,Кальция силикат искуственный (волластонит),Капролактам ,Капрон,Кислота метакриловая,Кислота акриловая,Кислота уксусная,Керамика,Кислота серная,Лавсан,Ксилол (мета-,орто-, пара-),Медь,Меди соли (хлорная, хлористая, сернокисл"&amp;"ая) по меди
,Масла минеральные нефтяные,Метилметакрилат,Метилакрилат,Молибдена растворимые соединения в виде пыли
,Нитрон,Никеля соли в виде гидроаэрозоля (по Ni),Никель, никеля оксиды, сульфиды и смеси соединений никеля (файнштейн, никелевый концентрат и"&amp;" агломерат, оборотная пыль очистных устройств (по Ni)
,Озон,Перекись водорода,Полиамидные пресс-порошки ПМ-69, ПАИ-1,Полиамидное пресспорошки ""Армос"",Ртуть,Сероводород,Ситалл марки СТ-30 в смеси с алмазом до 5%
,Свинец и его неорганические соединения (п"&amp;"о свинцу),Синтетические моющие средства „Лотос”,”Ера”,”Ока” ,Скипидар,Спирт этиловий,Спирт метиловий,Спирт изопропиловый,Стирол,Стеклоэмаль (по свинцу),Титан и его диоксид,Тетрахлорэтилен,Толуол,Толуилендиизоцианат,Углеводороды алифатические предельные,Уг"&amp;"лерода оксид,Фенол,Формальдегид,Фенолформальдегидные смолы по фенолу,Фенолформальдегидные смолы формальдегиду,Фенопласты,Феррохром металлический (сплав хрома 65% с железом),Фтористоводородной кислоты соли (по F):
 фториды натрия, калия, аммония, цинка, ол"&amp;"ова, серебра, лития и бария, криолит, гидрофторид аммония,Фтористоводородной кислоты соли (по F) фториды алюминия, магния, кальция, стронция, меди, хрома,Фторопласт-4,Хлор,Хроматы, бихроматы,Хрома оксид (по Cr+3),Циклогексанон,Цинка оксид,Чай,Щелочи едкие"&amp;" (растворы в перерасчете на NaOH),Алюминий и его сплавы (в перерасчете на алюминий),Сплав алюминия с магнием АМ-50 (в виде аэрозоля дезинтеграции),Вискоза 77,Углеродные композиционные материалы,Марганець в сварочном аэрозоле: (до 20% и 20-30%),Бора карбид"&amp;",Боросодержащие смеси (Роксбор-КС, Роксбор-МВ, Роксбор-БЦ),Доломит,Железный агломерат,Железорудные окатыши,Известняк,Корунд белый,Кремния диоксид аморфный в виде аэрозоля конденсации при содержании: больше 60 %,Кремния диоксид аморфный в виде аэрозоля кон"&amp;"денсации при содержании 60-10 %,Кремния диоксид аморфный в виде аэрозоля конденсации при содержании меньше 10 %,Кремния диоксид аморфный в виде аэрозоля дезинтеграции (диатомит, кварцевое стекло, плавленый кварц, трепел);,Кремния диоксид кристаллический ("&amp;"кварц,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содержании"&amp;" в пыле от 2 до 10 % (горючие кукерситные сланцы, медно сульфидные руды и др.),Кремния карбид (карборунд).,Поливинилхлорид,Полимеры и сополимеры на основе акриловых и метакриловых мономеров,Полипропилен,Поликарбонат,Полиэтилен,Полиформальдегид,Пыль доменн"&amp;"ого шлака,Чугун в смесе с електрокорундом до 20%,Шамотнографитовые огнеупоры,Зерновая,Мучная,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бо"&amp;"лее 10%),Силикатсодержащие пыли, силикаты, алюмосиликаты асбесты природные (хризолит, актофиллит, эктинолит, тремолит, магнезиарфведсонит) и синтетическиеасбесты, а такжесмешанныеасбестопородныепыли при содержании в них асбестаболее 20%;
,Асбест природны"&amp;"й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"&amp;"происхождения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ка"&amp;"олиновый,Цеолиты (природные и искусственные)
,Сополимеры акрилонитрила и 2-метил-5-винилпиридина (волокно ВИОН-АН-1),Сополимеры на основе винилхлорида и винилиденхлорида
,Сополимер стирола А-метилстиролом
,Стеклопластик на основе полиэфирной смолы
,Табак,"&amp;"Коксы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мет"&amp;"аллизированый,Сажи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волокон,Імідазолінони,Диті"&amp;"окарбамати,Карбамати,Тіокарбамати,Мідьвмісні пестициди,Азотовмісні,Хлорорганічні,Фосфорорганічні,Синтетичні піретроїди,Спірокеталаміни,Стробілурини,Триазоли,Похідні сечовини,Тіосечовини та сульфонілсечовини,Похідні карбонових кислот")</f>
        <v>Азота диоксид,Акрилонитрил,Акролеин,Алюминий и його сплавы,Алюминия  оксид в смеси со сплавом никеля до 15% (электрокорунд),Амилацетат,Аминопласты (пресс-порошки),Аммиак,Ангидрид сернистый,Ангидрид фосфорный,Ангидрид хромовый,Ацетон,Ацетальдегид,Бензол,Бутилацетат,Винилацетат,Винила хлорид,Водорода хлорид,Водород фосфористый (фосфин),Дивинил,Искусственное поликристаллическое глиноземистое волокно, в т.ч. с содержанием до 0,5% оксида хрома (ІІІ),Электрокорунд, электрокорунд хромистый,Эпихлоргидрин,Этиленгликоль,Этилацетат ,Этилена оксид,Кальция силикат искуственный (волластонит),Капролактам ,Капрон,Кислота метакриловая,Кислота акриловая,Кислота уксусная,Керамика,Кислота серная,Лавсан,Ксилол (мета-,орто-, пара-),Медь,Меди соли (хлорная, хлористая, сернокислая) по меди
,Масла минеральные нефтяные,Метилметакрилат,Метилакрилат,Молибдена растворимые соединения в виде пыли
,Нитрон,Никеля соли в виде гидроаэрозоля (по Ni),Никель, никеля оксиды, сульфиды и смеси соединений никеля (файнштейн, никелевый концентрат и агломерат, оборотная пыль очистных устройств (по Ni)
,Озон,Перекись водорода,Полиамидные пресс-порошки ПМ-69, ПАИ-1,Полиамидное пресспорошки "Армос",Ртуть,Сероводород,Ситалл марки СТ-30 в смеси с алмазом до 5%
,Свинец и его неорганические соединения (по свинцу),Синтетические моющие средства „Лотос”,”Ера”,”Ока” ,Скипидар,Спирт этиловий,Спирт метиловий,Спирт изопропиловый,Стирол,Стеклоэмаль (по свинцу),Титан и его диоксид,Тетрахлорэтилен,Толуол,Толуилендиизоцианат,Углеводороды алифатические предельные,Углерода оксид,Фенол,Формальдегид,Фенолформальдегидные смолы по фенолу,Фенолформальдегидные смолы формальдегиду,Фенопласты,Феррохром металлический (сплав хрома 65% с железом),Фтористоводородной кислоты соли (по F):
 фториды натрия, калия, аммония, цинка, олова, серебра, лития и бария, криолит, гидрофторид аммония,Фтористоводородной кислоты соли (по F) фториды алюминия, магния, кальция, стронция, меди, хрома,Фторопласт-4,Хлор,Хроматы, бихроматы,Хрома оксид (по Cr+3),Циклогексанон,Цинка оксид,Чай,Щелочи едкие (растворы в перерасчете на NaOH),Алюминий и его сплавы (в перерасчете на алюминий),Сплав алюминия с магнием АМ-50 (в виде аэрозоля дезинтеграции),Вискоза 77,Углеродные композиционные материалы,Марганець в сварочном аэрозоле: (до 20% и 20-30%),Бора карбид,Боросодержащие смеси (Роксбор-КС, Роксбор-МВ, Роксбор-БЦ),Доломит,Железный агломерат,Железорудные окатыши,Известняк,Корунд белый,Кремния диоксид аморфный в виде аэрозоля конденсации при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аморфный в виде аэрозоля дезинтеграции (диатомит, кварцевое стекло, плавленый кварц, трепел);,Кремния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др.),Кремния карбид (карборунд).,Поливинилхлорид,Полимеры и сополимеры на основе акриловых и метакриловых мономеров,Полипропилен,Поликарбонат,Полиэтилен,Полиформальдегид,Пыль доменного шлака,Чугун в смесе с електрокорундом до 20%,Шамотнографитовые огнеупоры,Зерновая,Мучная,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10%),Силикатсодержащие пыли, силикаты, алюмосиликаты асбесты природные (хризолит, актофиллит, эктинолит, тремолит, магнезиарфведсонит) и синтетическиеасбесты, а такжесмешанныеасбестопородныепыли при содержании в них асбестаболее 20%;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,Сополимеры акрилонитрила и 2-метил-5-винилпиридина (волокно ВИОН-АН-1),Сополимеры на основе винилхлорида и винилиденхлорида
,Сополимер стирола А-метилстиролом
,Стеклопластик на основе полиэфирной смолы
,Табак,Коксы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волокон,Імідазолінони,Дитіокарбамати,Карбамати,Тіокарбамати,Мідьвмісні пестициди,Азотовмісні,Хлорорганічні,Фосфорорганічні,Синтетичні піретроїди,Спірокеталаміни,Стробілурини,Триазоли,Похідні сечовини,Тіосечовини та сульфонілсечовини,Похідні карбонових кислот</v>
      </c>
      <c r="I6" s="17" t="str">
        <f>IFERROR(__xludf.DUMMYFUNCTION("""COMPUTED_VALUE"""),"")</f>
        <v/>
      </c>
      <c r="J6" s="17" t="str">
        <f>IFERROR(__xludf.DUMMYFUNCTION("""COMPUTED_VALUE"""),"Важкість праці,Напруженість праці")</f>
        <v>Важкість праці,Напруженість праці</v>
      </c>
      <c r="K6" s="18">
        <f>IFERROR(__xludf.DUMMYFUNCTION("""COMPUTED_VALUE"""),43369.0)</f>
        <v>43369</v>
      </c>
      <c r="L6" s="18" t="str">
        <f>IFERROR(__xludf.DUMMYFUNCTION("""COMPUTED_VALUE"""),"")</f>
        <v/>
      </c>
    </row>
    <row r="7">
      <c r="A7" s="11">
        <f t="shared" si="1"/>
        <v>4</v>
      </c>
      <c r="B7" s="16" t="str">
        <f>IFERROR(__xludf.DUMMYFUNCTION("""COMPUTED_VALUE"""),"Санітарно-промислова лабораторія вимірювального бюро відділу головного метролога ПрАТ ""Кременчуцький завод дорожніх машин""")</f>
        <v>Санітарно-промислова лабораторія вимірювального бюро відділу головного метролога ПрАТ "Кременчуцький завод дорожніх машин"</v>
      </c>
      <c r="C7" s="16" t="str">
        <f>IFERROR(__xludf.DUMMYFUNCTION("""COMPUTED_VALUE"""),"Полтавська")</f>
        <v>Полтавська</v>
      </c>
      <c r="D7" s="16" t="str">
        <f>IFERROR(__xludf.DUMMYFUNCTION("""COMPUTED_VALUE"""),"Кременчук")</f>
        <v>Кременчук</v>
      </c>
      <c r="E7" s="16" t="str">
        <f>IFERROR(__xludf.DUMMYFUNCTION("""COMPUTED_VALUE"""),"пр. Свободи, 4")</f>
        <v>пр. Свободи, 4</v>
      </c>
      <c r="F7" s="17" t="str">
        <f>IFERROR(__xludf.DUMMYFUNCTION("""COMPUTED_VALUE"""),"0536 7652 57")</f>
        <v>0536 7652 57</v>
      </c>
      <c r="G7" s="17" t="str">
        <f>IFERROR(__xludf.DUMMYFUNCTION("""COMPUTED_VALUE"""),"Вібрація загальна та локальна,Шум,Мікроклімат,Освітлення,Атмосферний тиск")</f>
        <v>Вібрація загальна та локальна,Шум,Мікроклімат,Освітлення,Атмосферний тиск</v>
      </c>
      <c r="H7" s="17" t="str">
        <f>IFERROR(__xludf.DUMMYFUNCTION("""COMPUTED_VALUE"""),"Азота диоксид,Ангидрид сернистый,Ангидрид хромовый,Бензин,Водорода хлорид,Кислота серная,Ксилол (мета-,орто-, пара-),Масла минеральные нефтяные,Никеля соли в виде гидроаэрозоля (по Ni),Озон,Толуол,Углеводороды алифатические предельные,Углерода оксид,Фенол"&amp;",Формальдегид,Щелочи едкие (растворы в перерасчете на NaOH),Марганець в сварочном аэрозоле: (до 20% и 20-30%),Кремния диоксид аморфный в виде аэрозоля конденсации при содержании меньше 10 %,Кремния диоксид кристаллический при содержании в пыле от 10 до 70"&amp;"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др.),Зерновая,Мучная, древесная и др. (с примесью диоксида кремния меньше 2 %)"&amp;",Лубяная,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10 %),Силикатсодержащие пыли, с"&amp;"иликаты, алюмосиликаты при содержании асбеста менее 10%; асбестоцемент,Силикатсодержащие пыли, силикаты, алюмосиликаты при содержанииасбеста от 10 до 20%
,Силикатсодержащие пыли, силикаты, алюмосиликаты асбесты природные (хризолит, актофиллит, эктинолит, "&amp;"тремолит, магнезиарфведсонит) и синтетическиеасбесты, а такжесмешанныеасбестопородныепыли при содержании в них асбестаболее 20%;
,Асбестобакелит, асбесторезина,Силикаты стеклообразные вулканического происхождения (туфы, пемза, перлит) ,Слюды, тальк, таль"&amp;"копородные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f>
        <v>Азота диоксид,Ангидрид сернистый,Ангидрид хромовый,Бензин,Водорода хлорид,Кислота серная,Ксилол (мета-,орто-, пара-),Масла минеральные нефтяные,Никеля соли в виде гидроаэрозоля (по Ni),Озон,Толуол,Углеводороды алифатические предельные,Углерода оксид,Фенол,Формальдегид,Щелочи едкие (растворы в перерасчете на NaOH),Марганець в сварочном аэрозоле: (до 20% и 20-30%),Кремния диоксид аморфный в виде аэрозоля конденсации при содержании меньше 10 %,Кремния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10 %),Силикатсодержащие пыли, силикаты, алюмосиликаты при содержании асбеста менее 10%; асбестоцемент,Силикатсодержащие пыли, силикаты, алюмосиликаты при содержанииасбеста от 10 до 20%
,Силикатсодержащие пыли, силикаты, алюмосиликаты асбесты природные (хризолит, актофиллит, эктинолит, тремолит, магнезиарфведсонит) и синтетическиеасбесты, а такжесмешанныеасбестопородныепыли при содержании в них асбестаболее 20%;
,Асбестобакелит,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v>
      </c>
      <c r="I7" s="17" t="str">
        <f>IFERROR(__xludf.DUMMYFUNCTION("""COMPUTED_VALUE"""),"")</f>
        <v/>
      </c>
      <c r="J7" s="17" t="str">
        <f>IFERROR(__xludf.DUMMYFUNCTION("""COMPUTED_VALUE"""),"Важкість праці,Напруженість праці")</f>
        <v>Важкість праці,Напруженість праці</v>
      </c>
      <c r="K7" s="18">
        <f>IFERROR(__xludf.DUMMYFUNCTION("""COMPUTED_VALUE"""),43367.0)</f>
        <v>43367</v>
      </c>
      <c r="L7" s="18" t="str">
        <f>IFERROR(__xludf.DUMMYFUNCTION("""COMPUTED_VALUE"""),"")</f>
        <v/>
      </c>
    </row>
    <row r="8">
      <c r="A8" s="11">
        <f t="shared" si="1"/>
        <v>5</v>
      </c>
      <c r="B8" s="16" t="str">
        <f>IFERROR(__xludf.DUMMYFUNCTION("""COMPUTED_VALUE"""),"Санітарна лабораторія ДП ""Рівненський експертно-технічний центр Держпраці""")</f>
        <v>Санітарна лабораторія ДП "Рівненський експертно-технічний центр Держпраці"</v>
      </c>
      <c r="C8" s="16" t="str">
        <f>IFERROR(__xludf.DUMMYFUNCTION("""COMPUTED_VALUE"""),"Рівненська")</f>
        <v>Рівненська</v>
      </c>
      <c r="D8" s="16" t="str">
        <f>IFERROR(__xludf.DUMMYFUNCTION("""COMPUTED_VALUE"""),"Рівне")</f>
        <v>Рівне</v>
      </c>
      <c r="E8" s="16" t="str">
        <f>IFERROR(__xludf.DUMMYFUNCTION("""COMPUTED_VALUE"""),"вул. Лермонтова, 7")</f>
        <v>вул. Лермонтова, 7</v>
      </c>
      <c r="F8" s="17" t="str">
        <f>IFERROR(__xludf.DUMMYFUNCTION("""COMPUTED_VALUE"""),"0362-40-73-07     0362-62-07-59")</f>
        <v>0362-40-73-07     0362-62-07-59</v>
      </c>
      <c r="G8" s="17" t="str">
        <f>IFERROR(__xludf.DUMMYFUNCTION("""COMPUTED_VALUE"""),"Вібрація загальна та локальна,Шум,Мікроклімат,Освітлення,Атмосферний тиск")</f>
        <v>Вібрація загальна та локальна,Шум,Мікроклімат,Освітлення,Атмосферний тиск</v>
      </c>
      <c r="H8" s="17" t="str">
        <f>IFERROR(__xludf.DUMMYFUNCTION("""COMPUTED_VALUE"""),"Азота диоксид,Азота оксид (IV) в перерарасчете на (NO2),Аммиак,Ангидрид сернистый,Ангидрид хромовый,Ацетон,Бензин,Бензол,Бутан,Бутилацетат,Винила хлорид,Водорода хлорид,Диметилформамид,Зола горючих сланцев,Изобутилен,Электрокорунд, электрокорунд хромистый"&amp;",Этилен,Этилцеллозольв (этиловый эфир этиленгликоля),Этилацетат ,Кислота уксусная,Керосин,Кислота серная,Ксилол (мета-,орто-, пара-),Медь,Моноэтаноламин,Никель,Озон,Пропилен,Сероводород,Свинец и его неорганические соединения (по свинцу),Синтетические моющ"&amp;"ие средства „Лотос”,”Ера”,”Ока” ,Скипидар,Спирт н-бутиловый, бутиловый вторичный и третичный
,Спирт этиловий,Стирол,Тетрахлорэтилен,Трихлорэтилен,Толуол,Углеводороды алифатические предельные,Углерода оксид,Фенол,Формальдегид,Хлор,Хроматы, бихроматы,Хрома "&amp;"оксид (по Cr+3),Циклогексанон,Цинка оксид,Щелочи едкие (растворы в перерасчете на NaOH),Известняк,Кремния диоксид кристаллический (кварц, кристобелит, тридимит) при содержании в пыли больше 70% (кварцит, динас и др.);,Кремния диоксид кристаллический при с"&amp;"одержании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др.),Чугун в смесе с електрокорундом до 20%,Зернов"&amp;"ая,Мучная,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10%),Силикатсодержащие пыли, силикаты, алюмосиликаты при содержании асбеста мен"&amp;"ее 10%; асбестоцемент,Силикатсодержащие пыли, силикаты, алюмосиликаты при содержанииасбеста от 10 до 20%
,Силикатсодержащие пыли, силикаты, алюмосиликаты асбесты природные (хризолит, актофиллит, эктинолит, тремолит, магнезиарфведсонит) и синтетическиеасбе"&amp;"сты, а такжесмешанныеасбестопородныепыли при содержании в них асбестаболее 20%;
,Коксы каменноугольный, пековый, нефтяной, сланцевый,Сажи черные промышленные с содержанием бензапирена не более 35 мг на 1 кг,Углеродные волокнистые материалы на основе гидр"&amp;"ат полиакрилонитрильных волокон")</f>
        <v>Азота диоксид,Азота оксид (IV) в перерарасчете на (NO2),Аммиак,Ангидрид сернистый,Ангидрид хромовый,Ацетон,Бензин,Бензол,Бутан,Бутилацетат,Винила хлорид,Водорода хлорид,Диметилформамид,Зола горючих сланцев,Изобутилен,Электрокорунд, электрокорунд хромистый,Этилен,Этилцеллозольв (этиловый эфир этиленгликоля),Этилацетат ,Кислота уксусная,Керосин,Кислота серная,Ксилол (мета-,орто-, пара-),Медь,Моноэтаноламин,Никель,Озон,Пропилен,Сероводород,Свинец и его неорганические соединения (по свинцу),Синтетические моющие средства „Лотос”,”Ера”,”Ока” ,Скипидар,Спирт н-бутиловый, бутиловый вторичный и третичный
,Спирт этиловий,Стирол,Тетрахлорэтилен,Трихлорэтилен,Толуол,Углеводороды алифатические предельные,Углерода оксид,Фенол,Формальдегид,Хлор,Хроматы, бихроматы,Хрома оксид (по Cr+3),Циклогексанон,Цинка оксид,Щелочи едкие (растворы в перерасчете на NaOH),Известняк,Кремния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др.),Чугун в смесе с електрокорундом до 20%,Зерновая,Мучная,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10%),Силикатсодержащие пыли, силикаты, алюмосиликаты при содержании асбеста менее 10%; асбестоцемент,Силикатсодержащие пыли, силикаты, алюмосиликаты при содержанииасбеста от 10 до 20%
,Силикатсодержащие пыли, силикаты, алюмосиликаты асбесты природные (хризолит, актофиллит, эктинолит, тремолит, магнезиарфведсонит) и синтетическиеасбесты, а такжесмешанныеасбестопородныепыли при содержании в них асбестаболее 20%;
,Коксы каменноугольный, пековый, нефтяной, сланцевый,Сажи черные промышленные с содержанием бензапирена не более 35 мг на 1 кг,Углеродные волокнистые материалы на основе гидрат полиакрилонитрильных волокон</v>
      </c>
      <c r="I8" s="17" t="str">
        <f>IFERROR(__xludf.DUMMYFUNCTION("""COMPUTED_VALUE"""),"")</f>
        <v/>
      </c>
      <c r="J8" s="17" t="str">
        <f>IFERROR(__xludf.DUMMYFUNCTION("""COMPUTED_VALUE"""),"Важкість праці,Напруженість праці")</f>
        <v>Важкість праці,Напруженість праці</v>
      </c>
      <c r="K8" s="18">
        <f>IFERROR(__xludf.DUMMYFUNCTION("""COMPUTED_VALUE"""),43370.0)</f>
        <v>43370</v>
      </c>
      <c r="L8" s="18" t="str">
        <f>IFERROR(__xludf.DUMMYFUNCTION("""COMPUTED_VALUE"""),"")</f>
        <v/>
      </c>
    </row>
    <row r="9">
      <c r="A9" s="11">
        <f t="shared" si="1"/>
        <v>6</v>
      </c>
      <c r="B9" s="16" t="str">
        <f>IFERROR(__xludf.DUMMYFUNCTION("""COMPUTED_VALUE"""),"ДУ ""Лабораторний центр на залізничному транспорті МОЗ України""")</f>
        <v>ДУ "Лабораторний центр на залізничному транспорті МОЗ України"</v>
      </c>
      <c r="C9" s="16" t="str">
        <f>IFERROR(__xludf.DUMMYFUNCTION("""COMPUTED_VALUE"""),"Київська")</f>
        <v>Київська</v>
      </c>
      <c r="D9" s="16" t="str">
        <f>IFERROR(__xludf.DUMMYFUNCTION("""COMPUTED_VALUE"""),"Київ")</f>
        <v>Київ</v>
      </c>
      <c r="E9" s="16" t="str">
        <f>IFERROR(__xludf.DUMMYFUNCTION("""COMPUTED_VALUE"""),"вул. Стадіонна, 6А")</f>
        <v>вул. Стадіонна, 6А</v>
      </c>
      <c r="F9" s="17" t="str">
        <f>IFERROR(__xludf.DUMMYFUNCTION("""COMPUTED_VALUE"""),"044-465-0640")</f>
        <v>044-465-0640</v>
      </c>
      <c r="G9" s="17" t="str">
        <f>IFERROR(__xludf.DUMMYFUNCTION("""COMPUTED_VALUE"""),"Вібрація загальна та локальна,Шум,Ультразвук,Інфразвук,Неіонізуюче випромінювання,Іонізуюче випромінювання,Мікроклімат,Освітлення")</f>
        <v>Вібрація загальна та локальна,Шум,Ультразвук,Інфразвук,Неіонізуюче випромінювання,Іонізуюче випромінювання,Мікроклімат,Освітлення</v>
      </c>
      <c r="H9" s="17" t="str">
        <f>IFERROR(__xludf.DUMMYFUNCTION("""COMPUTED_VALUE"""),"Азота диоксид,Азота оксид (IV) в перерарасчете на (NO2),Акрилонитрил,Акролеин,Алюминий и його сплавы,Алюминия  оксид в смеси со сплавом никеля до 15% (электрокорунд),Аммиак,Ангидрид сернистый,Ангидрид фосфорный,Ангидрид фталевый,Ангидрид хромовый,Ацетон,А"&amp;"цетальдегид,Бензол,Бутилацетат,Винилацетат,Винила хлорид,Водорода хлорид,Водород фтористий (в пересчете на F),Гидразин и его производные,Дивинил,Зола горючих сланцев,Этиленгликоль,Кадмий и его неорганические соединения,Капролактам ,Капрон,Кислота уксусная"&amp;",Керамика,Кислота серная,Ксилол (мета-,орто-, пара-),Медь,Марганца оксиды (в пересчете на MnO2) аэрозоль дезинтеграции,Марганца оксиды (в пересчете на MnO2) аэрозоль конденсации,Масла минеральные нефтяные,Натрия гидрокарбонат,Никеля соли в виде гидроаэроз"&amp;"оля (по Ni),Никель, никеля оксиды, сульфиды и смеси соединений никеля (файнштейн, никелевый концентрат и агломерат, оборотная пыль очистных устройств (по Ni)
,Озон,Ртуть,Сероводород,Свинец и его неорганические соединения (по свинцу),Синтетические моющие с"&amp;"редства „Лотос”,”Ера”,”Ока” ,Спирты непредельные жирного ряда,Титан и его диоксид,Тетрахлорэтилен,Толуол,Уайт-спирит (в пересчете на С),Углеводороды алифатические предельные,Углерода оксид,Фенол,Формальдегид,Хлор,Хрома оксид (по Cr+3),Цинка оксид,Щелочи е"&amp;"дкие (растворы в перерасчете на NaOH),Марганець в сварочном аэрозоле: (до 20% и 20-30%),Алюминия оксид с примесью свободного диоксида кремния до 15% и оксида железа до 10% ( в виде аэрозоля конденсации),Алюминия оксид в виде аэрозоля дезинтеграции (глиноз"&amp;"ем, электрокорунд, монокорунд),Железорудные окатыши,Известняк,Корунд белый,Кремния диоксид аморфный в виде аэрозоля конденсации при содержании: больше 60 %,Кремния диоксид аморфный в виде аэрозоля конденсации при содержании 60-10 %,Кремния диоксид аморфны"&amp;"й в виде аэрозоля конденсации при содержании меньше 10 %,Кремния диоксид аморфный в виде аэрозоля дезинтеграции (диатомит, кварцевое стекло, плавленый кварц, трепел);,Кремния диоксид кристаллический (кварц, кристобелит, тридимит) при содержании в пыли бол"&amp;"ьше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медно"&amp;" сульфидные руды и др.),Кремния карбид (карборунд).,Зерновая,Мучная,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хлопчат"&amp;"о-бумажная,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асбеста"&amp;"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минеральн"&amp;"ые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сланцевый,Антрацит с содержанием свободного диоксида"&amp;"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кг,Углеро"&amp;"дные волокнистые материалы на основе гидрат целлюлозных волокон,Углеродные волокнистые материалы на основе гидрат полиакрилонитрильных волокон")</f>
        <v>Азота диоксид,Азота оксид (IV) в перерарасчете на (NO2),Акрилонитрил,Акролеин,Алюминий и його сплавы,Алюминия  оксид в смеси со сплавом никеля до 15% (электрокорунд),Аммиак,Ангидрид сернистый,Ангидрид фосфорный,Ангидрид фталевый,Ангидрид хромовый,Ацетон,Ацетальдегид,Бензол,Бутилацетат,Винилацетат,Винила хлорид,Водорода хлорид,Водород фтористий (в пересчете на F),Гидразин и его производные,Дивинил,Зола горючих сланцев,Этиленгликоль,Кадмий и его неорганические соединения,Капролактам ,Капрон,Кислота уксусная,Керамика,Кислота серная,Ксилол (мета-,орто-, пара-),Медь,Марганца оксиды (в пересчете на MnO2) аэрозоль дезинтеграции,Марганца оксиды (в пересчете на MnO2) аэрозоль конденсации,Масла минеральные нефтяные,Натрия гидрокарбонат,Никеля соли в виде гидроаэрозоля (по Ni),Никель, никеля оксиды, сульфиды и смеси соединений никеля (файнштейн, никелевый концентрат и агломерат, оборотная пыль очистных устройств (по Ni)
,Озон,Ртуть,Сероводород,Свинец и его неорганические соединения (по свинцу),Синтетические моющие средства „Лотос”,”Ера”,”Ока” ,Спирты непредельные жирного ряда,Титан и его диоксид,Тетрахлорэтилен,Толуол,Уайт-спирит (в пересчете на С),Углеводороды алифатические предельные,Углерода оксид,Фенол,Формальдегид,Хлор,Хрома оксид (по Cr+3),Цинка оксид,Щелочи едкие (растворы в перерасчете на NaOH),Марганець в сварочном аэрозоле: (до 20% и 20-30%),Алюминия оксид с примесью свободного диоксида кремния до 15% и оксида железа до 10% ( в виде аэрозоля конденсации),Алюминия оксид в виде аэрозоля дезинтеграции (глинозем, электрокорунд, монокорунд),Железорудные окатыши,Известняк,Корунд белый,Кремния диоксид аморфный в виде аэрозоля конденсации при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аморфный в виде аэрозоля дезинтеграции (диатомит, кварцевое стекло, плавленый кварц, трепел);,Кремния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др.),Кремния карбид (карборунд).,Зерновая,Мучная,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v>
      </c>
      <c r="I9" s="17" t="str">
        <f>IFERROR(__xludf.DUMMYFUNCTION("""COMPUTED_VALUE"""),"")</f>
        <v/>
      </c>
      <c r="J9" s="17" t="str">
        <f>IFERROR(__xludf.DUMMYFUNCTION("""COMPUTED_VALUE"""),"Важкість праці,Напруженість праці")</f>
        <v>Важкість праці,Напруженість праці</v>
      </c>
      <c r="K9" s="18">
        <f>IFERROR(__xludf.DUMMYFUNCTION("""COMPUTED_VALUE"""),43370.0)</f>
        <v>43370</v>
      </c>
      <c r="L9" s="18" t="str">
        <f>IFERROR(__xludf.DUMMYFUNCTION("""COMPUTED_VALUE"""),"")</f>
        <v/>
      </c>
    </row>
    <row r="10">
      <c r="A10" s="11">
        <f t="shared" si="1"/>
        <v>7</v>
      </c>
      <c r="B10" s="16" t="str">
        <f>IFERROR(__xludf.DUMMYFUNCTION("""COMPUTED_VALUE"""),"Промсанітарія департаменту з охорони навколишнього середовища ПАТ ""АрселорМіттал Кривий Ріг"" ")</f>
        <v>Промсанітарія департаменту з охорони навколишнього середовища ПАТ "АрселорМіттал Кривий Ріг" </v>
      </c>
      <c r="C10" s="16" t="str">
        <f>IFERROR(__xludf.DUMMYFUNCTION("""COMPUTED_VALUE"""),"Дніпропетровська")</f>
        <v>Дніпропетровська</v>
      </c>
      <c r="D10" s="16" t="str">
        <f>IFERROR(__xludf.DUMMYFUNCTION("""COMPUTED_VALUE"""),"Кривий Ріг")</f>
        <v>Кривий Ріг</v>
      </c>
      <c r="E10" s="16" t="str">
        <f>IFERROR(__xludf.DUMMYFUNCTION("""COMPUTED_VALUE"""),"вул. Криворіжсталі, 1")</f>
        <v>вул. Криворіжсталі, 1</v>
      </c>
      <c r="F10" s="17" t="str">
        <f>IFERROR(__xludf.DUMMYFUNCTION("""COMPUTED_VALUE"""),"056-499-21-57")</f>
        <v>056-499-21-57</v>
      </c>
      <c r="G10" s="17" t="str">
        <f>IFERROR(__xludf.DUMMYFUNCTION("""COMPUTED_VALUE"""),"Вібрація загальна та локальна,Шум,Мікроклімат,Освітлення,Атмосферний тиск")</f>
        <v>Вібрація загальна та локальна,Шум,Мікроклімат,Освітлення,Атмосферний тиск</v>
      </c>
      <c r="H10" s="17" t="str">
        <f>IFERROR(__xludf.DUMMYFUNCTION("""COMPUTED_VALUE"""),"Азота диоксид,Аммиак,Ангидрид сернистый,Ангидрид фосфорный,Ангидрид хромовый,Аценафтен,Ацетон,Бензол,Водорода хлорид,Водорода цианид,Гидразин и его производные,Кислота серная,Медь,Марганца оксиды (в пересчете на MnO2) аэрозоль дезинтеграции,Масла минераль"&amp;"ные нефтяные,1-Метилнафталин, 2-Метилнафталин,Нафталин,Никель,Никеля соли в виде гидроаэрозоля (по Ni),Озон,Сероводород,Свинец и его неорганические соединения (по свинцу),Сульфоаммиачное удобрение,Триэтиламин,Триэтаноламин ,Углеводороды алифатические пред"&amp;"ельные,Углерода оксид,Фенантрен,Фенол,Фенопласты,Хрома оксид (по Cr+3),Щелочи едкие (растворы в перерасчете на NaOH),Марганець в сварочном аэрозоле: (до 20% и 20-30%),Алюминия оксид в виде аэрозоля дезинтеграции (глинозем, электрокорунд, монокорунд),Долом"&amp;"ит,Железный агломерат,Железорудные окатыши,Известняк,Кальция оксид,Кремния диоксид аморфный в виде аэрозоля конденсации при содержании меньше 10 %,Кремния диоксид кристаллический (кварц, кристобелит, тридимит) при содержании в пыли больше 70% (кварцит, ди"&amp;"нас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д"&amp;"р.),Пыль доменного шлака,Магнезит,Смолодоломит,Чугун в смесе с електрокорундом до 20%,Шамотнографитовые огнеупоры,Зерновая,Мучная, древесная и др. (с примесью диоксида кремния меньше 2 %),Лубяная, хлопчато-бумажная, хлопковая, льняная, шерстяная, пуховая "&amp;"и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асбеста"&amp;"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содержа"&amp;"щие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"&amp;"нефтяной,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искусственные,Сажи черные промышленные с содержанием бе"&amp;"нзапирена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f>
        <v>Азота диоксид,Аммиак,Ангидрид сернистый,Ангидрид фосфорный,Ангидрид хромовый,Аценафтен,Ацетон,Бензол,Водорода хлорид,Водорода цианид,Гидразин и его производные,Кислота серная,Медь,Марганца оксиды (в пересчете на MnO2) аэрозоль дезинтеграции,Масла минеральные нефтяные,1-Метилнафталин, 2-Метилнафталин,Нафталин,Никель,Никеля соли в виде гидроаэрозоля (по Ni),Озон,Сероводород,Свинец и его неорганические соединения (по свинцу),Сульфоаммиачное удобрение,Триэтиламин,Триэтаноламин ,Углеводороды алифатические предельные,Углерода оксид,Фенантрен,Фенол,Фенопласты,Хрома оксид (по Cr+3),Щелочи едкие (растворы в перерасчете на NaOH),Марганець в сварочном аэрозоле: (до 20% и 20-30%),Алюминия оксид в виде аэрозоля дезинтеграции (глинозем, электрокорунд, монокорунд),Доломит,Железный агломерат,Железорудные окатыши,Известняк,Кальция оксид,Кремния диоксид аморфный в виде аэрозоля конденсации при содержании меньше 10 %,Кремния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др.),Пыль доменного шлака,Магнезит,Смолодоломит,Чугун в смесе с електрокорундом до 20%,Шамотнографитовые огнеупоры,Зерновая,Мучная,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v>
      </c>
      <c r="I10" s="17" t="str">
        <f>IFERROR(__xludf.DUMMYFUNCTION("""COMPUTED_VALUE"""),"")</f>
        <v/>
      </c>
      <c r="J10" s="17" t="str">
        <f>IFERROR(__xludf.DUMMYFUNCTION("""COMPUTED_VALUE"""),"Важкість праці,Напруженість праці")</f>
        <v>Важкість праці,Напруженість праці</v>
      </c>
      <c r="K10" s="18">
        <f>IFERROR(__xludf.DUMMYFUNCTION("""COMPUTED_VALUE"""),43369.0)</f>
        <v>43369</v>
      </c>
      <c r="L10" s="18" t="str">
        <f>IFERROR(__xludf.DUMMYFUNCTION("""COMPUTED_VALUE"""),"")</f>
        <v/>
      </c>
    </row>
    <row r="11">
      <c r="A11" s="11">
        <f t="shared" si="1"/>
        <v>8</v>
      </c>
      <c r="B11" s="16" t="str">
        <f>IFERROR(__xludf.DUMMYFUNCTION("""COMPUTED_VALUE"""),"ДП ""Кіровоградський експертно-технічний центр Держпраці"" Санітарно-промислова лабораторія  ")</f>
        <v>ДП "Кіровоградський експертно-технічний центр Держпраці" Санітарно-промислова лабораторія  </v>
      </c>
      <c r="C11" s="16" t="str">
        <f>IFERROR(__xludf.DUMMYFUNCTION("""COMPUTED_VALUE"""),"Кіровоградська")</f>
        <v>Кіровоградська</v>
      </c>
      <c r="D11" s="16" t="str">
        <f>IFERROR(__xludf.DUMMYFUNCTION("""COMPUTED_VALUE"""),"Кропивницький")</f>
        <v>Кропивницький</v>
      </c>
      <c r="E11" s="16" t="str">
        <f>IFERROR(__xludf.DUMMYFUNCTION("""COMPUTED_VALUE"""),"вул. Дворцова, 24")</f>
        <v>вул. Дворцова, 24</v>
      </c>
      <c r="F11" s="17" t="str">
        <f>IFERROR(__xludf.DUMMYFUNCTION("""COMPUTED_VALUE"""),"0522-24-45-36")</f>
        <v>0522-24-45-36</v>
      </c>
      <c r="G11" s="17" t="str">
        <f>IFERROR(__xludf.DUMMYFUNCTION("""COMPUTED_VALUE"""),"Вібрація загальна та локальна,Шум,Неіонізуюче випромінювання,Мікроклімат,Освітлення,Атмосферний тиск")</f>
        <v>Вібрація загальна та локальна,Шум,Неіонізуюче випромінювання,Мікроклімат,Освітлення,Атмосферний тиск</v>
      </c>
      <c r="H11" s="17" t="str">
        <f>IFERROR(__xludf.DUMMYFUNCTION("""COMPUTED_VALUE"""),"Бутан,Углерода оксид")</f>
        <v>Бутан,Углерода оксид</v>
      </c>
      <c r="I11" s="17" t="str">
        <f>IFERROR(__xludf.DUMMYFUNCTION("""COMPUTED_VALUE"""),"")</f>
        <v/>
      </c>
      <c r="J11" s="17" t="str">
        <f>IFERROR(__xludf.DUMMYFUNCTION("""COMPUTED_VALUE"""),"Важкість праці,Напруженість праці")</f>
        <v>Важкість праці,Напруженість праці</v>
      </c>
      <c r="K11" s="18">
        <f>IFERROR(__xludf.DUMMYFUNCTION("""COMPUTED_VALUE"""),43371.0)</f>
        <v>43371</v>
      </c>
      <c r="L11" s="18" t="str">
        <f>IFERROR(__xludf.DUMMYFUNCTION("""COMPUTED_VALUE"""),"")</f>
        <v/>
      </c>
    </row>
    <row r="12">
      <c r="A12" s="11">
        <f t="shared" si="1"/>
        <v>9</v>
      </c>
      <c r="B12" s="16" t="str">
        <f>IFERROR(__xludf.DUMMYFUNCTION("""COMPUTED_VALUE"""),"Комунальне підприємство ""Санепідсервіс""")</f>
        <v>Комунальне підприємство "Санепідсервіс"</v>
      </c>
      <c r="C12" s="16" t="str">
        <f>IFERROR(__xludf.DUMMYFUNCTION("""COMPUTED_VALUE"""),"Харківська")</f>
        <v>Харківська</v>
      </c>
      <c r="D12" s="16" t="str">
        <f>IFERROR(__xludf.DUMMYFUNCTION("""COMPUTED_VALUE"""),"Харків")</f>
        <v>Харків</v>
      </c>
      <c r="E12" s="16" t="str">
        <f>IFERROR(__xludf.DUMMYFUNCTION("""COMPUTED_VALUE"""),"вул. Голдберівська, 104")</f>
        <v>вул. Голдберівська, 104</v>
      </c>
      <c r="F12" s="17" t="str">
        <f>IFERROR(__xludf.DUMMYFUNCTION("""COMPUTED_VALUE"""),"057-725-01-81")</f>
        <v>057-725-01-81</v>
      </c>
      <c r="G12" s="17" t="str">
        <f>IFERROR(__xludf.DUMMYFUNCTION("""COMPUTED_VALUE"""),"Вібрація загальна та локальна,Шум,Ультразвук,Неіонізуюче випромінювання,Мікроклімат,Освітлення,Атмосферний тиск")</f>
        <v>Вібрація загальна та локальна,Шум,Ультразвук,Неіонізуюче випромінювання,Мікроклімат,Освітлення,Атмосферний тиск</v>
      </c>
      <c r="H12" s="17" t="str">
        <f>IFERROR(__xludf.DUMMYFUNCTION("""COMPUTED_VALUE"""),"Азота диоксид,Аерозоль масел,Азота оксид (IV) в перерарасчете на (NO2),Акрилонитрил,Акролеин,Алюминий и його сплавы,Алюминия  оксид в смеси со сплавом никеля до 15% (электрокорунд),Аминопласты (пресс-порошки),Аммиак,Ангидрид малеиновый,Ангидрид сернистый,"&amp;"Ангидрид фосфорный,Ангидрид хромовый,Ацетон,Ацетальдегид,Бензин,Бензол,Бутилацетат,Ванадий и его соединения,Винилацетат,Винила хлорид,Водорода хлорид,Водорода цианид,Водород мышьяковистый (арсин),Водород фосфористый (фосфин),Вольфрам, вольфрама карбид и с"&amp;"илицид,Гексаметилендиамин,Гексан,Гексаметилендиизоцианат,Гидразин и его производные,Глюкоза,Диметилтерефталат,Диметилформамид,Дифенилол-пропан,Дихлорэтан,Зола горючих сланцев,Электрокорунд, электрокорунд хромистый,Эпихлоргидрин,Этилцеллозольв (этиловый эф"&amp;"ир этиленгликоля),Этилендиамин,Этиленгликоль,Этилбензол,Этилацетат ,Этилена оксид,Этилмеркаптан,Кальция гидрооксид,2-пара-о-карбоксибеназа-имидо-бензол-сульфомидотиазол (фталазол),Кальция сульфат,Кадмий и его неорганические соединения,Капролактам ,Капрон,"&amp;"Кислота ацетилсалициловая,Кислота метакриловая,Кофеин основание,Кислота акриловая,Кислота муравьиная,Кислота уксусная,Кислота терефталевая,Кислота трихлоруксусная,Керамика,Кислота серная,Кобальт и его неорганические соединения,Лавсан,Левомицетин,Ксилол (м"&amp;"ета-,орто-, пара-),Метилена хлорид,Медь,Марганца оксиды (в пересчете на MnO2) аэрозоль дезинтеграции,Марганца оксиды (в пересчете на MnO2) аэрозоль конденсации,Масла минеральные нефтяные,Моноэтаноламин,Метилметакрилат,Метилакрилат,Метилмеркаптан,Молибден,"&amp;"Мышьяка неорганические соединения (по мышьяку),Натрия гидрокарбонат,Натрия хлорид,Нафталин,Никель,Никеля соли в виде гидроаэрозоля (по Ni),Озон,Пропиленгликоль,Полиамидные пресс-порошки ПМ-69, ПАИ-1,Ртуть,Селена диоксид,Сероводород,Свинец и его неорганиче"&amp;"ские соединения (по свинцу),Сода кальцинированная,Сольвент-нафта,Спирт н-бутиловый, бутиловый вторичный и третичный
,Спирт этиловий,Спирт метиловий,Спирт пропиловый,Спирт изопропиловый,Стирол,Титан и его диоксид,Толуилендиизоцианат,Тетрахлорэтилен,Тетраэт"&amp;"илсвинец,Трихлорэтилен,Табак,1-Фенил-2,3-диметил-4-метиламинопиразолон-5-N- метансульфат натрия (анальгин),Толуол,Уайт-спирит (в пересчете на С),Углеводороды алифатические предельные,Углерода оксид,Углерод четыреххлористый,Фенол,Формальдегид,Фенолформальд"&amp;"егидные смолы по фенолу,Фенолформальдегидные смолы формальдегиду,Фенопласты,Фтористоводородной кислоты соли (по F):
 фториды натрия, калия, аммония, цинка, олова, серебра, лития и бария, криолит, гидрофторид аммония,Фтористоводородной кислоты соли (по F) "&amp;"фториды алюминия, магния, кальция, стронция, меди, хрома,Хлор,Хроматы, бихроматы,Хрома оксид (по Cr+3),Циклогексан,Циклогексанон,Цинка оксид,Цукроза,Щелочи едкие (растворы в перерасчете на NaOH),Марганець в сварочном аэрозоле: (до 20% и 20-30%),Доломит,Из"&amp;"вестняк,Корунд белый,Кремния диоксид аморфный в виде аэрозоля конденсации при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меньше 10"&amp;" %,Кремния диоксид аморфный в виде аэрозоля дезинтеграции (диатомит, кварцевое стекло, плавленый кварц, трепел);,Кремния диоксид кристаллический (кварц, кристобелит, тридимит) при содержании в пыли больше 70% (кварцит, динас и др.);,Кремния диоксид криста"&amp;"ллический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др.),Крохмал,Кремния карбид (карбор"&amp;"унд).,Поливинилхлорид,Полимеры и сополимеры на основе акриловых и метакриловых мономеров,Полипропилен,Полиэтилен,Чугун в смесе с електрокорундом до 20%,Зерновая,Мучная, древесная и др. (с примесью диоксида кремния меньше 2 %),Лубяная, хлопчато-бумажная, х"&amp;"лопковая,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10 %),Силикатсодержащие пыли, силикаты, алюмосиликаты при сод"&amp;"ержании асбеста менее 10%; асбестоцемент,Силикатсодержащие пыли, силикаты, алюмосиликаты при содержанииасбеста от 10 до 20%
,Силикатсодержащие пыли, силикаты, алюмосиликаты асбесты природные (хризолит, актофиллит, эктинолит, тремолит, магнезиарфведсонит) "&amp;"и синтетическиеасбесты, а такжесмешанныеасбестопородныепыли при содержании в них асбестаболее 20%;
,Стеклопластик на основе полиэфирной смолы
,Антрацит с содержанием свободного диоксида кремния до 5 %,Другие ископаемые угли и углеродные пыли с содержание"&amp;"м свободного диоксида кремния до 5%, от 5% до 10%,Алмазы природные и искусственные,Сажи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матер"&amp;"иалы на основе гидрат полиакрилонитрильных волокон")</f>
        <v>Азота диоксид,Аерозоль масел,Азота оксид (IV) в перерарасчете на (NO2),Акрилонитрил,Акролеин,Алюминий и його сплавы,Алюминия  оксид в смеси со сплавом никеля до 15% (электрокорунд),Аминопласты (пресс-порошки),Аммиак,Ангидрид малеиновый,Ангидрид сернистый,Ангидрид фосфорный,Ангидрид хромовый,Ацетон,Ацетальдегид,Бензин,Бензол,Бутилацетат,Ванадий и его соединения,Винилацетат,Винила хлорид,Водорода хлорид,Водорода цианид,Водород мышьяковистый (арсин),Водород фосфористый (фосфин),Вольфрам, вольфрама карбид и силицид,Гексаметилендиамин,Гексан,Гексаметилендиизоцианат,Гидразин и его производные,Глюкоза,Диметилтерефталат,Диметилформамид,Дифенилол-пропан,Дихлорэтан,Зола горючих сланцев,Электрокорунд, электрокорунд хромистый,Эпихлоргидрин,Этилцеллозольв (этиловый эфир этиленгликоля),Этилендиамин,Этиленгликоль,Этилбензол,Этилацетат ,Этилена оксид,Этилмеркаптан,Кальция гидрооксид,2-пара-о-карбоксибеназа-имидо-бензол-сульфомидотиазол (фталазол),Кальция сульфат,Кадмий и его неорганические соединения,Капролактам ,Капрон,Кислота ацетилсалициловая,Кислота метакриловая,Кофеин основание,Кислота акриловая,Кислота муравьиная,Кислота уксусная,Кислота терефталевая,Кислота трихлоруксусная,Керамика,Кислота серная,Кобальт и его неорганические соединения,Лавсан,Левомицетин,Ксилол (мета-,орто-, пара-),Метилена хлорид,Медь,Марганца оксиды (в пересчете на MnO2) аэрозоль дезинтеграции,Марганца оксиды (в пересчете на MnO2) аэрозоль конденсации,Масла минеральные нефтяные,Моноэтаноламин,Метилметакрилат,Метилакрилат,Метилмеркаптан,Молибден,Мышьяка неорганические соединения (по мышьяку),Натрия гидрокарбонат,Натрия хлорид,Нафталин,Никель,Никеля соли в виде гидроаэрозоля (по Ni),Озон,Пропиленгликоль,Полиамидные пресс-порошки ПМ-69, ПАИ-1,Ртуть,Селена диоксид,Сероводород,Свинец и его неорганические соединения (по свинцу),Сода кальцинированная,Сольвент-нафта,Спирт н-бутиловый, бутиловый вторичный и третичный
,Спирт этиловий,Спирт метиловий,Спирт пропиловый,Спирт изопропиловый,Стирол,Титан и его диоксид,Толуилендиизоцианат,Тетрахлорэтилен,Тетраэтилсвинец,Трихлорэтилен,Табак,1-Фенил-2,3-диметил-4-метиламинопиразолон-5-N- метансульфат натрия (анальгин),Толуол,Уайт-спирит (в пересчете на С),Углеводороды алифатические предельные,Углерода оксид,Углерод четыреххлористый,Фенол,Формальдегид,Фенолформальдегидные смолы по фенолу,Фенолформальдегидные смолы формальдегиду,Фенопласты,Фтористоводородной кислоты соли (по F):
 фториды натрия, калия, аммония, цинка, олова, серебра, лития и бария, криолит, гидрофторид аммония,Фтористоводородной кислоты соли (по F) фториды алюминия, магния, кальция, стронция, меди, хрома,Хлор,Хроматы, бихроматы,Хрома оксид (по Cr+3),Циклогексан,Циклогексанон,Цинка оксид,Цукроза,Щелочи едкие (растворы в перерасчете на NaOH),Марганець в сварочном аэрозоле: (до 20% и 20-30%),Доломит,Известняк,Корунд белый,Кремния диоксид аморфный в виде аэрозоля конденсации при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аморфный в виде аэрозоля дезинтеграции (диатомит, кварцевое стекло, плавленый кварц, трепел);,Кремния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др.),Крохмал,Кремния карбид (карборунд).,Поливинилхлорид,Полимеры и сополимеры на основе акриловых и метакриловых мономеров,Полипропилен,Полиэтилен,Чугун в смесе с електрокорундом до 20%,Зерновая,Мучная,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10 %),Силикатсодержащие пыли, силикаты, алюмосиликаты при содержании асбеста менее 10%; асбестоцемент,Силикатсодержащие пыли, силикаты, алюмосиликаты при содержанииасбеста от 10 до 20%
,Силикатсодержащие пыли, силикаты, алюмосиликаты асбесты природные (хризолит, актофиллит, эктинолит, тремолит, магнезиарфведсонит) и синтетическиеасбесты, а такжесмешанныеасбестопородныепыли при содержании в них асбестаболее 20%;
,Стеклопластик на основе полиэфирной смолы
,Антрацит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v>
      </c>
      <c r="I12" s="17" t="str">
        <f>IFERROR(__xludf.DUMMYFUNCTION("""COMPUTED_VALUE"""),"")</f>
        <v/>
      </c>
      <c r="J12" s="17" t="str">
        <f>IFERROR(__xludf.DUMMYFUNCTION("""COMPUTED_VALUE"""),"Важкість праці,Напруженість праці")</f>
        <v>Важкість праці,Напруженість праці</v>
      </c>
      <c r="K12" s="18">
        <f>IFERROR(__xludf.DUMMYFUNCTION("""COMPUTED_VALUE"""),43370.0)</f>
        <v>43370</v>
      </c>
      <c r="L12" s="18" t="str">
        <f>IFERROR(__xludf.DUMMYFUNCTION("""COMPUTED_VALUE"""),"")</f>
        <v/>
      </c>
    </row>
    <row r="13">
      <c r="A13" s="11">
        <f t="shared" si="1"/>
        <v>10</v>
      </c>
      <c r="B13" s="16" t="str">
        <f>IFERROR(__xludf.DUMMYFUNCTION("""COMPUTED_VALUE"""),"ДУ ""Житомирський обласний лабораторний центр МОЗ України""")</f>
        <v>ДУ "Житомирський обласний лабораторний центр МОЗ України"</v>
      </c>
      <c r="C13" s="16" t="str">
        <f>IFERROR(__xludf.DUMMYFUNCTION("""COMPUTED_VALUE"""),"Житомирська")</f>
        <v>Житомирська</v>
      </c>
      <c r="D13" s="16" t="str">
        <f>IFERROR(__xludf.DUMMYFUNCTION("""COMPUTED_VALUE"""),"Житомир")</f>
        <v>Житомир</v>
      </c>
      <c r="E13" s="16" t="str">
        <f>IFERROR(__xludf.DUMMYFUNCTION("""COMPUTED_VALUE"""),"вул. Велика Бердичівська, 64")</f>
        <v>вул. Велика Бердичівська, 64</v>
      </c>
      <c r="F13" s="17" t="str">
        <f>IFERROR(__xludf.DUMMYFUNCTION("""COMPUTED_VALUE"""),"412-34-64-17")</f>
        <v>412-34-64-17</v>
      </c>
      <c r="G13" s="17" t="str">
        <f>IFERROR(__xludf.DUMMYFUNCTION("""COMPUTED_VALUE"""),"Вібрація загальна та локальна,Шум,Ультразвук,Інфразвук,Неіонізуюче випромінювання,Іонізуюче випромінювання,Мікроклімат,Освітлення")</f>
        <v>Вібрація загальна та локальна,Шум,Ультразвук,Інфразвук,Неіонізуюче випромінювання,Іонізуюче випромінювання,Мікроклімат,Освітлення</v>
      </c>
      <c r="H13" s="17" t="str">
        <f>IFERROR(__xludf.DUMMYFUNCTION("""COMPUTED_VALUE"""),"Азота диоксид,Азота оксид (IV) в перерарасчете на (NO2),Акрилонитрил,Акролеин,Алюминий и його сплавы,Алюминия гидроксид,Алюминия  оксид в смеси со сплавом никеля до 15% (электрокорунд),Аминопласты (пресс-порошки),Аммиак,Аммиачно-карбамидное удобрение,Анги"&amp;"дрид малеиновый,Ангидрид масляный,Ангидрид сернистый,Ангидрид фосфорный,Ангидрид хромовый,Анилин,Ацетон,Ацетальдегид,Бензальдегид,Бензин,Бензол,Бутилацетат,Водорода хлорид,Водород мышьяковистый (арсин),Водород фосфористый (фосфин),Водород фтористий (в пер"&amp;"есчете на F),Вольфрам, вольфрама карбид и силицид,Гидразин и его производные,Диэтиловый эфир,Эпихлоргидрин,Этилацетат ,Этилена оксид,Этилмеркаптан,Капролактам ,Капрон,Карбамид (мочевина),Кислота азотная,Кислота муравьиная,Кислота уксусная,Керамика,Кислота"&amp;" серная,Кобальт и его неорганические соединения,Ксилол (мета-,орто-, пара-),Медь,Марганца оксиды (в пересчете на MnO2) аэрозоль дезинтеграции,Масла минеральные нефтяные,Метилметакрилат,Метилмеркаптан,Молибден,Мочевино-формальдегидно-аммофосное удобрение,Н"&amp;"атрия гидрокарбонат,Натрия сульфат,Натрия хлорид,Никель,Озон,Оксациллин,Полиамидные пресс-порошки ПМ-69, ПАИ-1,Ртуть,Сероводород,Сероводород в смеси с углеводородами С1-С5,Свинец и его неорганические соединения (по свинцу),Сода кальцинированная,Скипидар,С"&amp;"пирт н-бутиловый, бутиловый вторичный и третичный
,Спирт этиловий,Спирт метиловий,Стирол,Сульфоаммиачное удобрение,Титан и его диоксид,Тетраметилтиурамдисульфид,Тетрациклин,Тетраэтилсвинец,Тиомочевина,1,1,1-Трифтор-2-хлорбромэтан (фторотан),Толуол,Уайт-сп"&amp;"ирит (в пересчете на С),Углеводороды алифатические предельные,Углерода оксид,Углерод четыреххлористый,Фенол,Формальдегид,Фенолформальдегидные смолы по фенолу,Фенолформальдегидные смолы формальдегиду,Фенопласты,Флоримицин,Фторопласт-4,Хлор,Хлора диоксид,Хл"&amp;"ортетрациклин,Хрома оксид (по Cr+3),Целлюлоза,Цинка оксид,Щелочи едкие (растворы в перерасчете на NaOH),Алюминия оксид с примесью диоксида кремния ( в виде аерозоля конденсации),Марганець в сварочном аэрозоле: (до 20% и 20-30%),Алюминия оксид в виде аэроз"&amp;"оля дезинтеграции (глинозем, электрокорунд, монокорунд),Доломит,Железный агломерат,Известняк,Кальция оксид,Кремния диоксид аморфный в виде аэрозоля конденсации при содержании: больше 60 %,Кремния диоксид аморфный в виде аэрозоля конденсации при содержании"&amp;" 60-10 %,Кремния диоксид аморфный в виде аэрозоля конденсации при содержании меньше 10 %,Кремния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содержании"&amp;" в пыле от 10 до 70 % (гранит, шамот, слюда-сирец, углепородная пыль и др.),Поливинилхлорид,Полимеры и сополимеры на основе акриловых и метакриловых мономеров,Полимиксин М,Полипропилен,Полиэтилен,Шамотнографитовые огнеупоры,Зерновая,Мучная, древесная и др"&amp;".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кремн"&amp;"ия от 2 до 10 %),Асбестобакелит, асбесторезина,Слюды,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глина"&amp;", шамот каолиновый,Коксы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10%,Углеродные волокнистые "&amp;"материалы на основе гидрат полиакрилонитрильных волокон")</f>
        <v>Азота диоксид,Азота оксид (IV) в перерарасчете на (NO2),Акрилонитрил,Акролеин,Алюминий и його сплавы,Алюминия гидроксид,Алюминия  оксид в смеси со сплавом никеля до 15% (электрокорунд),Аминопласты (пресс-порошки),Аммиак,Аммиачно-карбамидное удобрение,Ангидрид малеиновый,Ангидрид масляный,Ангидрид сернистый,Ангидрид фосфорный,Ангидрид хромовый,Анилин,Ацетон,Ацетальдегид,Бензальдегид,Бензин,Бензол,Бутилацетат,Водорода хлорид,Водород мышьяковистый (арсин),Водород фосфористый (фосфин),Водород фтористий (в пересчете на F),Вольфрам, вольфрама карбид и силицид,Гидразин и его производные,Диэтиловый эфир,Эпихлоргидрин,Этилацетат ,Этилена оксид,Этилмеркаптан,Капролактам ,Капрон,Карбамид (мочевина),Кислота азотная,Кислота муравьиная,Кислота уксусная,Керамика,Кислота серная,Кобальт и его неорганические соединения,Ксилол (мета-,орто-, пара-),Медь,Марганца оксиды (в пересчете на MnO2) аэрозоль дезинтеграции,Масла минеральные нефтяные,Метилметакрилат,Метилмеркаптан,Молибден,Мочевино-формальдегидно-аммофосное удобрение,Натрия гидрокарбонат,Натрия сульфат,Натрия хлорид,Никель,Озон,Оксациллин,Полиамидные пресс-порошки ПМ-69, ПАИ-1,Ртуть,Сероводород,Сероводород в смеси с углеводородами С1-С5,Свинец и его неорганические соединения (по свинцу),Сода кальцинированная,Скипидар,Спирт н-бутиловый, бутиловый вторичный и третичный
,Спирт этиловий,Спирт метиловий,Стирол,Сульфоаммиачное удобрение,Титан и его диоксид,Тетраметилтиурамдисульфид,Тетрациклин,Тетраэтилсвинец,Тиомочевина,1,1,1-Трифтор-2-хлорбромэтан (фторотан),Толуол,Уайт-спирит (в пересчете на С),Углеводороды алифатические предельные,Углерода оксид,Углерод четыреххлористый,Фенол,Формальдегид,Фенолформальдегидные смолы по фенолу,Фенолформальдегидные смолы формальдегиду,Фенопласты,Флоримицин,Фторопласт-4,Хлор,Хлора диоксид,Хлортетрациклин,Хрома оксид (по Cr+3),Целлюлоза,Цинка оксид,Щелочи едкие (растворы в перерасчете на NaOH),Алюминия оксид с примесью диоксида кремния ( в виде аерозоля конденсации),Марганець в сварочном аэрозоле: (до 20% и 20-30%),Алюминия оксид в виде аэрозоля дезинтеграции (глинозем, электрокорунд, монокорунд),Доломит,Железный агломерат,Известняк,Кальция оксид,Кремния диоксид аморфный в виде аэрозоля конденсации при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др.),Поливинилхлорид,Полимеры и сополимеры на основе акриловых и метакриловых мономеров,Полимиксин М,Полипропилен,Полиэтилен,Шамотнографитовые огнеупоры,Зерновая,Мучная,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10 %),Асбестобакелит, асбесторезина,Слюды,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10%,Углеродные волокнистые материалы на основе гидрат полиакрилонитрильных волокон</v>
      </c>
      <c r="I13" s="17" t="str">
        <f>IFERROR(__xludf.DUMMYFUNCTION("""COMPUTED_VALUE"""),"Загальне мікробне число в 1 м3,S.aureus в 1 м3,Патогенна мікрофлора в 1 м3,Плісняві гриби, дріжджі в 1 м3,Гемолітичний стрептокок")</f>
        <v>Загальне мікробне число в 1 м3,S.aureus в 1 м3,Патогенна мікрофлора в 1 м3,Плісняві гриби, дріжджі в 1 м3,Гемолітичний стрептокок</v>
      </c>
      <c r="J13" s="17" t="str">
        <f>IFERROR(__xludf.DUMMYFUNCTION("""COMPUTED_VALUE"""),"Важкість праці,Напруженість праці")</f>
        <v>Важкість праці,Напруженість праці</v>
      </c>
      <c r="K13" s="18">
        <f>IFERROR(__xludf.DUMMYFUNCTION("""COMPUTED_VALUE"""),43370.0)</f>
        <v>43370</v>
      </c>
      <c r="L13" s="18" t="str">
        <f>IFERROR(__xludf.DUMMYFUNCTION("""COMPUTED_VALUE"""),"")</f>
        <v/>
      </c>
    </row>
    <row r="14">
      <c r="A14" s="11">
        <f t="shared" si="1"/>
        <v>11</v>
      </c>
      <c r="B14" s="16" t="str">
        <f>IFERROR(__xludf.DUMMYFUNCTION("""COMPUTED_VALUE"""),"Санітарно-екологічна лабораторія ТОВ ""Навчально-виробничий центр ""Професійна безпека"" ")</f>
        <v>Санітарно-екологічна лабораторія ТОВ "Навчально-виробничий центр "Професійна безпека" </v>
      </c>
      <c r="C14" s="16" t="str">
        <f>IFERROR(__xludf.DUMMYFUNCTION("""COMPUTED_VALUE"""),"Київська")</f>
        <v>Київська</v>
      </c>
      <c r="D14" s="16" t="str">
        <f>IFERROR(__xludf.DUMMYFUNCTION("""COMPUTED_VALUE"""),"Київ")</f>
        <v>Київ</v>
      </c>
      <c r="E14" s="16" t="str">
        <f>IFERROR(__xludf.DUMMYFUNCTION("""COMPUTED_VALUE"""),"вул. Сім'ї Хохлових, 8")</f>
        <v>вул. Сім'ї Хохлових, 8</v>
      </c>
      <c r="F14" s="17" t="str">
        <f>IFERROR(__xludf.DUMMYFUNCTION("""COMPUTED_VALUE"""),"044-501-00-24")</f>
        <v>044-501-00-24</v>
      </c>
      <c r="G14" s="17" t="str">
        <f>IFERROR(__xludf.DUMMYFUNCTION("""COMPUTED_VALUE"""),"Вібрація загальна та локальна,Шум,Мікроклімат,Освітлення,Атмосферний тиск")</f>
        <v>Вібрація загальна та локальна,Шум,Мікроклімат,Освітлення,Атмосферний тиск</v>
      </c>
      <c r="H14" s="17" t="str">
        <f>IFERROR(__xludf.DUMMYFUNCTION("""COMPUTED_VALUE"""),"Азота диоксид,Азота оксид (IV) в перерарасчете на (NO2),Акролеин,Аммиак,Ангидрид сернистый,Бутилацетат,Винилацетат,Водорода хлорид,Этилцеллозольв (этиловый эфир этиленгликоля),Этилацетат ,Этилена оксид,Кислота уксусная,Кислота серная,Медь,Масла минеральны"&amp;"е нефтяные,Нафталин,Озон,Пропилацетат,Сероводород,Свинец и его неорганические соединения (по свинцу),Спирт этиловий,Спирт изопропиловый,Уайт-спирит (в пересчете на С),Углеводороды алифатические предельные,Углерода оксид,Фенол,Формальдегид,Фенопласты,Хлор,"&amp;"Хроматы, бихроматы,Хрома оксид (по Cr+3),Хрома оксид (по Cr+6),Щелочи едкие (растворы в перерасчете на NaOH),Марганець в сварочном аэрозоле: (до 20% и 20-30%),Фтористо водородной кислоти соли: фториди натрия, калия, аммония,,Известняк,Кремния диоксид амор"&amp;"фный в виде аэрозоля конденсации при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аморфный в виде аэрозо"&amp;"ля дезинтеграции (диатомит, кварцевое стекло, плавленый кварц, трепел);,Кремния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"&amp;"70 %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др.),Полиэтилен,Зерновая,Мучная, древесная и др. (с примесью диоксида кремни"&amp;"я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10 %),Силикатсодер"&amp;"жащие пыли, силикаты, алюмосиликаты при содержании асбеста менее 10%; асбестоцемент,Силикатсодержащие пыли, силикаты, алюмосиликаты при содержанииасбеста от 10 до 20%
,Силикатсодержащие пыли, силикаты, алюмосиликаты асбесты природные (хризолит, актофиллит"&amp;", эктинолит, тремолит, магнезиарфведсонит) и синтетическиеасбесты, а такжесмешанныеасбестопородныепыли при содержании в них асбестаболее 20%;
,Асбест природный и исскуственный, смешанные асбестопородные пыли при содержании в них асбеста больше 10 %,Асбес"&amp;"топородные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свободн"&amp;"ого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сланцевы"&amp;"й,Антрацит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металлизированый,Углеродные волокнистые материалы на "&amp;"основе гидрат целлюлозных волокон,Углеродные волокнистые материалы на основе гидрат полиакрилонитрильных волокон")</f>
        <v>Азота диоксид,Азота оксид (IV) в перерарасчете на (NO2),Акролеин,Аммиак,Ангидрид сернистый,Бутилацетат,Винилацетат,Водорода хлорид,Этилцеллозольв (этиловый эфир этиленгликоля),Этилацетат ,Этилена оксид,Кислота уксусная,Кислота серная,Медь,Масла минеральные нефтяные,Нафталин,Озон,Пропилацетат,Сероводород,Свинец и его неорганические соединения (по свинцу),Спирт этиловий,Спирт изопропиловый,Уайт-спирит (в пересчете на С),Углеводороды алифатические предельные,Углерода оксид,Фенол,Формальдегид,Фенопласты,Хлор,Хроматы, бихроматы,Хрома оксид (по Cr+3),Хрома оксид (по Cr+6),Щелочи едкие (растворы в перерасчете на NaOH),Марганець в сварочном аэрозоле: (до 20% и 20-30%),Фтористо водородной кислоти соли: фториди натрия, калия, аммония,,Известняк,Кремния диоксид аморфный в виде аэрозоля конденсации при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аморфный в виде аэрозоля дезинтеграции (диатомит, кварцевое стекло, плавленый кварц, трепел);,Кремния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др.),Полиэтилен,Зерновая,Мучная,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10 %),Силикатсодержащие пыли, силикаты, алюмосиликаты при содержании асбеста менее 10%; асбестоцемент,Силикатсодержащие пыли, силикаты, алюмосиликаты при содержанииасбеста от 10 до 20%
,Силикатсодержащие пыли, силикаты, алюмосиликаты асбесты природные (хризолит, актофиллит, эктинолит, тремолит, магнезиарфведсонит) и синтетическиеасбесты, а такжесмешанныеасбестопородныепыли при содержании в них асбестаболее 20%;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v>
      </c>
      <c r="I14" s="17" t="str">
        <f>IFERROR(__xludf.DUMMYFUNCTION("""COMPUTED_VALUE"""),"")</f>
        <v/>
      </c>
      <c r="J14" s="17" t="str">
        <f>IFERROR(__xludf.DUMMYFUNCTION("""COMPUTED_VALUE"""),"Важкість праці,Напруженість праці")</f>
        <v>Важкість праці,Напруженість праці</v>
      </c>
      <c r="K14" s="18">
        <f>IFERROR(__xludf.DUMMYFUNCTION("""COMPUTED_VALUE"""),43376.0)</f>
        <v>43376</v>
      </c>
      <c r="L14" s="18" t="str">
        <f>IFERROR(__xludf.DUMMYFUNCTION("""COMPUTED_VALUE"""),"")</f>
        <v/>
      </c>
    </row>
    <row r="15">
      <c r="A15" s="11">
        <f t="shared" si="1"/>
        <v>12</v>
      </c>
      <c r="B15" s="16" t="str">
        <f>IFERROR(__xludf.DUMMYFUNCTION("""COMPUTED_VALUE"""),"ДУ ""Харківський обласний лабораторний центр МОЗ України""")</f>
        <v>ДУ "Харківський обласний лабораторний центр МОЗ України"</v>
      </c>
      <c r="C15" s="16" t="str">
        <f>IFERROR(__xludf.DUMMYFUNCTION("""COMPUTED_VALUE"""),"Харківська")</f>
        <v>Харківська</v>
      </c>
      <c r="D15" s="16" t="str">
        <f>IFERROR(__xludf.DUMMYFUNCTION("""COMPUTED_VALUE"""),"Харків")</f>
        <v>Харків</v>
      </c>
      <c r="E15" s="16" t="str">
        <f>IFERROR(__xludf.DUMMYFUNCTION("""COMPUTED_VALUE"""),"Помірки")</f>
        <v>Помірки</v>
      </c>
      <c r="F15" s="17" t="str">
        <f>IFERROR(__xludf.DUMMYFUNCTION("""COMPUTED_VALUE"""),"057-315-00-07")</f>
        <v>057-315-00-07</v>
      </c>
      <c r="G15" s="17" t="str">
        <f>IFERROR(__xludf.DUMMYFUNCTION("""COMPUTED_VALUE"""),"Вібрація загальна та локальна,Шум,Неіонізуюче випромінювання,Іонізуюче випромінювання,Мікроклімат,Освітлення")</f>
        <v>Вібрація загальна та локальна,Шум,Неіонізуюче випромінювання,Іонізуюче випромінювання,Мікроклімат,Освітлення</v>
      </c>
      <c r="H15" s="17" t="str">
        <f>IFERROR(__xludf.DUMMYFUNCTION("""COMPUTED_VALUE"""),"Азота диоксид,Азота оксид (IV) в перерарасчете на (NO2),Акролеин,Алюминий и його сплавы,Алюминия  оксид в смеси со сплавом никеля до 15% (электрокорунд),Аминопласты (пресс-порошки),Аммиак,Ангидрид сернистый,Ангидрид фосфорный,Ангидрид хромовый,Анилин,Ацет"&amp;"он,Ацетальдегид,Бензин,Бензол,Бутилацетат,Винилацетат,Водорода хлорид,Водорода цианид,Водород фтористий (в пересчете на F),Гексан,Гидразин и его производные,Дибутилфталат,Ди-(2-этилгексил)-фталат,Диэтиловый эфир,4,4-дифенилметандиизоцианат,Электрокорунд, "&amp;"электрокорунд хромистый,Эпихлоргидрин,Этиленгликоль,Этилбензол,Этилацетат ,Этилена оксид,Кадмий и его неорганические соединения,Капрон,Кислота ацетилсалициловая,Кофеин основание,Кислота уксусная,Керамика,Кислота серная,Кобальт и его неорганические соедине"&amp;"ния,Лавсан,Ксилол (мета-,орто-, пара-),Медь,Марганца оксиды (в пересчете на MnO2) аэрозоль дезинтеграции,Марганца оксиды (в пересчете на MnO2) аэрозоль конденсации,Масла минеральные нефтяные,Метилметакрилат,Молибден,Натрия гидрокарбонат,Натрия хлорид,Нике"&amp;"ля соли в виде гидроаэрозоля (по Ni),Никель, никеля оксиды, сульфиды и смеси соединений никеля (файнштейн, никелевый концентрат и агломерат, оборотная пыль очистных устройств (по Ni)
,Озон,Полиамидные пресс-порошки ПМ-69, ПАИ-1,Ртуть,Сера элементарная,Сер"&amp;"оводород,Свинец и его неорганические соединения (по свинцу),Спирт н-бутиловый, бутиловый вторичный и третичный
,Спирт этиловий,Спирт метиловий,Спирт пропиловый,Спирт изобутиловый,Спирт изопропиловый,Стирол,Титан и его диоксид,Толуилендиизоцианат,Тетрахлор"&amp;"этилен,Толуол,Уайт-спирит (в пересчете на С),Углеводороды алифатические предельные,Углерода оксид,Фенол,Формальдегид,Фенолформальдегидные смолы по фенолу,Фенолформальдегидные смолы формальдегиду,Фенопласты,Фтористоводородной кислоты соли (по F):
 фториды "&amp;"натрия, калия, аммония, цинка, олова, серебра, лития и бария, криолит, гидрофторид аммония,Фтористоводородной кислоты соли (по F) фториды алюминия, магния, кальция, стронция, меди, хрома,Фторопласт-4,Хлор,Хроматы, бихроматы,Хрома оксид (по Cr+3),Цинка окс"&amp;"ид,Щелочи едкие (растворы в перерасчете на NaOH),Алюминия оксид в виде аэрозоля дезинтеграции (глинозем, электрокорунд, монокорунд),Марганець в сварочном аэрозоле: (до 20% и 20-30%),Доломит,Известняк,Корунд белый,Кальция глюконат,Кальция оксид,Кремния дио"&amp;"ксид аморфный в виде аэрозоля конденсации при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аморфный в ви"&amp;"де аэрозоля дезинтеграции (диатомит, кварцевое стекло, плавленый кварц, трепел);,Кремния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"&amp;"от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др.),Кремния карбид (карборунд).,Поливинилхлорид,Полимеры и сополим"&amp;"еры на основе акриловых и метакриловых мономеров,Полипропилен,Поликарбонат,Полиэтилен,Полиформальдегид,Нитрон,Чугун в смесе с електрокорундом до 20%,Зерновая,Мучная, древесная и др. (с примесью диоксида кремния меньше 2 %),Лубяная, хлопчато-бумажная, хлоп"&amp;"ковая,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асбестопородны"&amp;"е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,Слюды,"&amp;"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искусственные"&amp;")
,Сополимер стирола А-метилстиролом
,Стеклопластик на основе полиэфирной смолы
,Табак,Коксы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сво"&amp;"бодного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волокон,Углеродные"&amp;" волокнистые материалы на основе гидрат полиакрилонитрильных волокон")</f>
        <v>Азота диоксид,Азота оксид (IV) в перерарасчете на (NO2),Акролеин,Алюминий и його сплавы,Алюминия  оксид в смеси со сплавом никеля до 15% (электрокорунд),Аминопласты (пресс-порошки),Аммиак,Ангидрид сернистый,Ангидрид фосфорный,Ангидрид хромовый,Анилин,Ацетон,Ацетальдегид,Бензин,Бензол,Бутилацетат,Винилацетат,Водорода хлорид,Водорода цианид,Водород фтористий (в пересчете на F),Гексан,Гидразин и его производные,Дибутилфталат,Ди-(2-этилгексил)-фталат,Диэтиловый эфир,4,4-дифенилметандиизоцианат,Электрокорунд, электрокорунд хромистый,Эпихлоргидрин,Этиленгликоль,Этилбензол,Этилацетат ,Этилена оксид,Кадмий и его неорганические соединения,Капрон,Кислота ацетилсалициловая,Кофеин основание,Кислота уксусная,Керамика,Кислота серная,Кобальт и его неорганические соединения,Лавсан,Ксилол (мета-,орто-, пара-),Медь,Марганца оксиды (в пересчете на MnO2) аэрозоль дезинтеграции,Марганца оксиды (в пересчете на MnO2) аэрозоль конденсации,Масла минеральные нефтяные,Метилметакрилат,Молибден,Натрия гидрокарбонат,Натрия хлорид,Никеля соли в виде гидроаэрозоля (по Ni),Никель, никеля оксиды, сульфиды и смеси соединений никеля (файнштейн, никелевый концентрат и агломерат, оборотная пыль очистных устройств (по Ni)
,Озон,Полиамидные пресс-порошки ПМ-69, ПАИ-1,Ртуть,Сера элементарная,Сероводород,Свинец и его неорганические соединения (по свинцу),Спирт н-бутиловый, бутиловый вторичный и третичный
,Спирт этиловий,Спирт метиловий,Спирт пропиловый,Спирт изобутиловый,Спирт изопропиловый,Стирол,Титан и его диоксид,Толуилендиизоцианат,Тетрахлорэтилен,Толуол,Уайт-спирит (в пересчете на С),Углеводороды алифатические предельные,Углерода оксид,Фенол,Формальдегид,Фенолформальдегидные смолы по фенолу,Фенолформальдегидные смолы формальдегиду,Фенопласты,Фтористоводородной кислоты соли (по F):
 фториды натрия, калия, аммония, цинка, олова, серебра, лития и бария, криолит, гидрофторид аммония,Фтористоводородной кислоты соли (по F) фториды алюминия, магния, кальция, стронция, меди, хрома,Фторопласт-4,Хлор,Хроматы, бихроматы,Хрома оксид (по Cr+3),Цинка оксид,Щелочи едкие (растворы в перерасчете на NaOH),Алюминия оксид в виде аэрозоля дезинтеграции (глинозем, электрокорунд, монокорунд),Марганець в сварочном аэрозоле: (до 20% и 20-30%),Доломит,Известняк,Корунд белый,Кальция глюконат,Кальция оксид,Кремния диоксид аморфный в виде аэрозоля конденсации при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аморфный в виде аэрозоля дезинтеграции (диатомит, кварцевое стекло, плавленый кварц, трепел);,Кремния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др.),Кремния карбид (карборунд).,Поливинилхлорид,Полимеры и сополимеры на основе акриловых и метакриловых мономеров,Полипропилен,Поликарбонат,Полиэтилен,Полиформальдегид,Нитрон,Чугун в смесе с електрокорундом до 20%,Зерновая,Мучная,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,Сополимер стирола А-метилстиролом
,Стеклопластик на основе полиэфирной смолы
,Табак,Коксы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v>
      </c>
      <c r="I15" s="17" t="str">
        <f>IFERROR(__xludf.DUMMYFUNCTION("""COMPUTED_VALUE"""),"")</f>
        <v/>
      </c>
      <c r="J15" s="17" t="str">
        <f>IFERROR(__xludf.DUMMYFUNCTION("""COMPUTED_VALUE"""),"Важкість праці,Напруженість праці")</f>
        <v>Важкість праці,Напруженість праці</v>
      </c>
      <c r="K15" s="18">
        <f>IFERROR(__xludf.DUMMYFUNCTION("""COMPUTED_VALUE"""),43374.0)</f>
        <v>43374</v>
      </c>
      <c r="L15" s="18" t="str">
        <f>IFERROR(__xludf.DUMMYFUNCTION("""COMPUTED_VALUE"""),"")</f>
        <v/>
      </c>
    </row>
    <row r="16">
      <c r="A16" s="11">
        <f t="shared" si="1"/>
        <v>13</v>
      </c>
      <c r="B16" s="16" t="str">
        <f>IFERROR(__xludf.DUMMYFUNCTION("""COMPUTED_VALUE"""),"Випробувальний центр ДУ ""Львівський обласний центр МОЗ України""")</f>
        <v>Випробувальний центр ДУ "Львівський обласний центр МОЗ України"</v>
      </c>
      <c r="C16" s="16" t="str">
        <f>IFERROR(__xludf.DUMMYFUNCTION("""COMPUTED_VALUE"""),"Львівська")</f>
        <v>Львівська</v>
      </c>
      <c r="D16" s="16" t="str">
        <f>IFERROR(__xludf.DUMMYFUNCTION("""COMPUTED_VALUE"""),"Львів")</f>
        <v>Львів</v>
      </c>
      <c r="E16" s="16" t="str">
        <f>IFERROR(__xludf.DUMMYFUNCTION("""COMPUTED_VALUE"""),"вул. Крупярська, 27")</f>
        <v>вул. Крупярська, 27</v>
      </c>
      <c r="F16" s="17" t="str">
        <f>IFERROR(__xludf.DUMMYFUNCTION("""COMPUTED_VALUE"""),"032-275-60-61")</f>
        <v>032-275-60-61</v>
      </c>
      <c r="G16" s="17" t="str">
        <f>IFERROR(__xludf.DUMMYFUNCTION("""COMPUTED_VALUE"""),"Вібрація загальна та локальна,Шум,Інфразвук,Неіонізуюче випромінювання,Мікроклімат,Освітлення,Атмосферний тиск")</f>
        <v>Вібрація загальна та локальна,Шум,Інфразвук,Неіонізуюче випромінювання,Мікроклімат,Освітлення,Атмосферний тиск</v>
      </c>
      <c r="H16" s="17" t="str">
        <f>IFERROR(__xludf.DUMMYFUNCTION("""COMPUTED_VALUE"""),"Азота диоксид,Азота оксид (IV) в перерарасчете на (NO2),Акрилонитрил,Акролеин,Акриламид,Алюминий и його сплавы,Амилацетат,Амины алифатические
,Аммиак,Ангидрид малеиновый,Ангидрид масляный,Ангидрид сернистый,Ангидрид селенистый,Ангидрид фосфорный,Ангидрид "&amp;"фталевый,Ангидрид хромовый,Анилин,Ацетон,Ацетальдегид,Бензальдегид,Бензин,Бензол,Бутилацетат,Бутилметакрилат,Бутилакрилат,Винилацетат,Водорода хлорид,Водорода цианид,Водород фосфористый (фосфин),Вольфрам, вольфрама карбид и силицид,Гексаметилендиизоцианат"&amp;",Гидразин и его производные,Диметилтерефталат,Диметиламин,Дивинил,Диэтиловый эфир,Дибутилфталат,Диотилфталат,4,4-дифенилметандиизоцианат,Изопрен,Эпихлоргидрин,Этилцеллозольв (этиловый эфир этиленгликоля),Этиленгликоль,Этилацетат ,Этилмеркаптан,Капролактам"&amp;" ,Кислота метакриловая,Кислота акриловая,Кислота муравьиная,Кислота уксусная,Керосин,Кислота серная,Кобальт и его неорганические соединения,Метилена хлорид,Медь,Марганца оксиды (в пересчете на MnO2) аэрозоль дезинтеграции,Марганца оксиды (в пересчете на M"&amp;"nO2) аэрозоль конденсации,Масла минеральные нефтяные,Моноэтаноламин,Метилметакрилат,Метилакрилат,Мышьяка неорганические соединения (по мышьяку),Натрия сульфат,Никель,Никель, никеля оксиды, сульфиды и смеси соединений никеля (файнштейн, никелевый концентра"&amp;"т и агломерат, оборотная пыль очистных устройств (по Ni)
,Озон,Олово,Перекись водорода,Пропиленгликоль,Пропилацетат,Ртуть,Селен,Сероводород,Свинец и его неорганические соединения (по свинцу),Сода кальцинированная,Скипидар,Спирт этиловий,Спирт метиловий,Сп"&amp;"ирт пропиловый,Спирт изобутиловый,Спирт амиловый
,Спирт н-гептиловый
,Спирт н-октиловый,Спирт н-нониловый,Спирт н-дециловый,Спирт изопропиловый,Стирол,Титан и его диоксид,Толуилендиизоцианат,Уайт-спирит (в пересчете на С),Углерода оксид,Углерод четыреххло"&amp;"ристый,Фенол,Формальдегид,Хлор,Хлороформ,Хрома оксид (по Cr+3),Цирконий,Циклогексан,Циклогексанон,Цинка оксид,Щелочи едкие (растворы в перерасчете на NaOH),Вольфрам,Кобальт ,Кобальта оксид ,Кремния диоксид аморфный в виде аэрозоля конденсации при содержан"&amp;"ии: больше 60 %,Зерновая,Мучная,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шерс"&amp;"тяная, пуховая и др. (с примесью диоксида кремния от 2 до 10 %),Хлорорганічні,Фосфорорганічні,Гетероциклічні сполуки,Синтетичні піретроїди,Похідні дитіокарбамінової кислоти,Похідні карбонових кислот")</f>
        <v>Азота диоксид,Азота оксид (IV) в перерарасчете на (NO2),Акрилонитрил,Акролеин,Акриламид,Алюминий и його сплавы,Амилацетат,Амины алифатические
,Аммиак,Ангидрид малеиновый,Ангидрид масляный,Ангидрид сернистый,Ангидрид селенистый,Ангидрид фосфорный,Ангидрид фталевый,Ангидрид хромовый,Анилин,Ацетон,Ацетальдегид,Бензальдегид,Бензин,Бензол,Бутилацетат,Бутилметакрилат,Бутилакрилат,Винилацетат,Водорода хлорид,Водорода цианид,Водород фосфористый (фосфин),Вольфрам, вольфрама карбид и силицид,Гексаметилендиизоцианат,Гидразин и его производные,Диметилтерефталат,Диметиламин,Дивинил,Диэтиловый эфир,Дибутилфталат,Диотилфталат,4,4-дифенилметандиизоцианат,Изопрен,Эпихлоргидрин,Этилцеллозольв (этиловый эфир этиленгликоля),Этиленгликоль,Этилацетат ,Этилмеркаптан,Капролактам ,Кислота метакриловая,Кислота акриловая,Кислота муравьиная,Кислота уксусная,Керосин,Кислота серная,Кобальт и его неорганические соединения,Метилена хлорид,Медь,Марганца оксиды (в пересчете на MnO2) аэрозоль дезинтеграции,Марганца оксиды (в пересчете на MnO2) аэрозоль конденсации,Масла минеральные нефтяные,Моноэтаноламин,Метилметакрилат,Метилакрилат,Мышьяка неорганические соединения (по мышьяку),Натрия сульфат,Никель,Никель, никеля оксиды, сульфиды и смеси соединений никеля (файнштейн, никелевый концентрат и агломерат, оборотная пыль очистных устройств (по Ni)
,Озон,Олово,Перекись водорода,Пропиленгликоль,Пропилацетат,Ртуть,Селен,Сероводород,Свинец и его неорганические соединения (по свинцу),Сода кальцинированная,Скипидар,Спирт этиловий,Спирт метиловий,Спирт пропиловый,Спирт изобутиловый,Спирт амиловый
,Спирт н-гептиловый
,Спирт н-октиловый,Спирт н-нониловый,Спирт н-дециловый,Спирт изопропиловый,Стирол,Титан и его диоксид,Толуилендиизоцианат,Уайт-спирит (в пересчете на С),Углерода оксид,Углерод четыреххлористый,Фенол,Формальдегид,Хлор,Хлороформ,Хрома оксид (по Cr+3),Цирконий,Циклогексан,Циклогексанон,Цинка оксид,Щелочи едкие (растворы в перерасчете на NaOH),Вольфрам,Кобальт ,Кобальта оксид ,Кремния диоксид аморфный в виде аэрозоля конденсации при содержании: больше 60 %,Зерновая,Мучная,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10 %),Хлорорганічні,Фосфорорганічні,Гетероциклічні сполуки,Синтетичні піретроїди,Похідні дитіокарбамінової кислоти,Похідні карбонових кислот</v>
      </c>
      <c r="I16" s="17" t="str">
        <f>IFERROR(__xludf.DUMMYFUNCTION("""COMPUTED_VALUE"""),"")</f>
        <v/>
      </c>
      <c r="J16" s="17" t="str">
        <f>IFERROR(__xludf.DUMMYFUNCTION("""COMPUTED_VALUE"""),"")</f>
        <v/>
      </c>
      <c r="K16" s="18">
        <f>IFERROR(__xludf.DUMMYFUNCTION("""COMPUTED_VALUE"""),43375.0)</f>
        <v>43375</v>
      </c>
      <c r="L16" s="18" t="str">
        <f>IFERROR(__xludf.DUMMYFUNCTION("""COMPUTED_VALUE"""),"")</f>
        <v/>
      </c>
    </row>
    <row r="17">
      <c r="A17" s="11">
        <f t="shared" si="1"/>
        <v>14</v>
      </c>
      <c r="B17" s="16" t="str">
        <f>IFERROR(__xludf.DUMMYFUNCTION("""COMPUTED_VALUE"""),"ДУ ""Кіровоградський обласний лабораторний центр МОЗ України""")</f>
        <v>ДУ "Кіровоградський обласний лабораторний центр МОЗ України"</v>
      </c>
      <c r="C17" s="16" t="str">
        <f>IFERROR(__xludf.DUMMYFUNCTION("""COMPUTED_VALUE"""),"Кіровоградська")</f>
        <v>Кіровоградська</v>
      </c>
      <c r="D17" s="16" t="str">
        <f>IFERROR(__xludf.DUMMYFUNCTION("""COMPUTED_VALUE"""),"Кропивницький")</f>
        <v>Кропивницький</v>
      </c>
      <c r="E17" s="16" t="str">
        <f>IFERROR(__xludf.DUMMYFUNCTION("""COMPUTED_VALUE"""),"вул. Тобілевича, 24")</f>
        <v>вул. Тобілевича, 24</v>
      </c>
      <c r="F17" s="17" t="str">
        <f>IFERROR(__xludf.DUMMYFUNCTION("""COMPUTED_VALUE"""),"0522-33-33-15")</f>
        <v>0522-33-33-15</v>
      </c>
      <c r="G17" s="17" t="str">
        <f>IFERROR(__xludf.DUMMYFUNCTION("""COMPUTED_VALUE"""),"Вібрація загальна та локальна,Шум,Неіонізуюче випромінювання,Мікроклімат,Освітлення")</f>
        <v>Вібрація загальна та локальна,Шум,Неіонізуюче випромінювання,Мікроклімат,Освітлення</v>
      </c>
      <c r="H17" s="17" t="str">
        <f>IFERROR(__xludf.DUMMYFUNCTION("""COMPUTED_VALUE"""),"Азота диоксид,Акролеин,Алюминий и його сплавы,Аммиак,Ангидрид сернистый,Ангидрид хромовый,Ацетон,Бензин,Бензол,Бутилацетат,Винилацетат,Водорода хлорид,Водород фтористий (в пересчете на F),Гексан,Дизельное топливо,Этилен,Этилацетат ,Этилена оксид,Этилмерка"&amp;"птан,Кислота уксусная,Керамика,Керосин,Кислота серная,Кобальт и его неорганические соединения,Ксилол (мета-,орто-, пара-),Медь,Масла минеральные нефтяные,Молибден,Натрия карбонат,Натрия хлорид,Никель,Озон,Ртуть,Селен,Селена диоксид,Сероводород,Свинец и ег"&amp;"о неорганические соединения (по свинцу),Сода кальцинированная,Спирт этиловий,Стирол,Тетраэтилсвинец,Толуол,Уайт-спирит (в пересчете на С),Углеводороды алифатические предельные,Углерода оксид,Фенол,Формальдегид,Хлор,Хроматы, бихроматы,Хрома оксид (по Cr+3)"&amp;",Цинка оксид,Щелочи едкие (растворы в перерасчете на NaOH),Марганець в сварочном аэрозоле: (до 20% и 20-30%),Алюминия оксид в виде аэрозоля дезинтеграции (глинозем, электрокорунд, монокорунд),Железный агломерат,Железорудные окатыши,Известняк,Корунд белый,"&amp;"Калия карбонат,Калия нитрат,Калия сульфат,Калия хлорид,Кремния диоксид аморфный в виде аэрозоля конденсации при содержании: больше 60 %,Кремния диоксид аморфный в виде аэрозоля конденсации при содержании 60-10 %,Кремния диоксид аморфный в виде аэрозоля ко"&amp;"нденсации при содержании меньше 10 %,Кремния диоксид аморфный в виде аэрозоля дезинтеграции (диатомит, кварцевое стекло, плавленый кварц, трепел);,Кремния диоксид кристаллический (кварц, кристобелит, тридимит) при содержании в пыли больше 70% (кварцит, ди"&amp;"нас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д"&amp;"р.),Кремния карбид (карборунд).,Зерновая,Мучная,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хлопкова"&amp;"я,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10 %,Асбестоцеме"&amp;"нт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силикатны"&amp;"е и алюмосиликатные стеклообразной структуры,Цемент, оливин, апатит, форстерит, глина, шамот каолиновый,Цеолиты (природные и искусственные)
,Другие ископаемые угли и углеродные пыли с содержанием свободного диоксида кремния до 5%, от 5% до 10%,Алмазы прир"&amp;"одные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полиакрилонитрил"&amp;"ьных волокон")</f>
        <v>Азота диоксид,Акролеин,Алюминий и його сплавы,Аммиак,Ангидрид сернистый,Ангидрид хромовый,Ацетон,Бензин,Бензол,Бутилацетат,Винилацетат,Водорода хлорид,Водород фтористий (в пересчете на F),Гексан,Дизельное топливо,Этилен,Этилацетат ,Этилена оксид,Этилмеркаптан,Кислота уксусная,Керамика,Керосин,Кислота серная,Кобальт и его неорганические соединения,Ксилол (мета-,орто-, пара-),Медь,Масла минеральные нефтяные,Молибден,Натрия карбонат,Натрия хлорид,Никель,Озон,Ртуть,Селен,Селена диоксид,Сероводород,Свинец и его неорганические соединения (по свинцу),Сода кальцинированная,Спирт этиловий,Стирол,Тетраэтилсвинец,Толуол,Уайт-спирит (в пересчете на С),Углеводороды алифатические предельные,Углерода оксид,Фенол,Формальдегид,Хлор,Хроматы, бихроматы,Хрома оксид (по Cr+3),Цинка оксид,Щелочи едкие (растворы в перерасчете на NaOH),Марганець в сварочном аэрозоле: (до 20% и 20-30%),Алюминия оксид в виде аэрозоля дезинтеграции (глинозем, электрокорунд, монокорунд),Железный агломерат,Железорудные окатыши,Известняк,Корунд белый,Калия карбонат,Калия нитрат,Калия сульфат,Калия хлорид,Кремния диоксид аморфный в виде аэрозоля конденсации при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аморфный в виде аэрозоля дезинтеграции (диатомит, кварцевое стекло, плавленый кварц, трепел);,Кремния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др.),Кремния карбид (карборунд).,Зерновая,Мучная,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v>
      </c>
      <c r="I17" s="17" t="str">
        <f>IFERROR(__xludf.DUMMYFUNCTION("""COMPUTED_VALUE"""),"")</f>
        <v/>
      </c>
      <c r="J17" s="17" t="str">
        <f>IFERROR(__xludf.DUMMYFUNCTION("""COMPUTED_VALUE"""),"Важкість праці,Напруженість праці")</f>
        <v>Важкість праці,Напруженість праці</v>
      </c>
      <c r="K17" s="18">
        <f>IFERROR(__xludf.DUMMYFUNCTION("""COMPUTED_VALUE"""),43376.0)</f>
        <v>43376</v>
      </c>
      <c r="L17" s="18" t="str">
        <f>IFERROR(__xludf.DUMMYFUNCTION("""COMPUTED_VALUE"""),"")</f>
        <v/>
      </c>
    </row>
    <row r="18">
      <c r="A18" s="11">
        <f t="shared" si="1"/>
        <v>15</v>
      </c>
      <c r="B18" s="16" t="str">
        <f>IFERROR(__xludf.DUMMYFUNCTION("""COMPUTED_VALUE"""),"ДУ ""Київський обласний лабораторний центр МОЗ України""")</f>
        <v>ДУ "Київський обласний лабораторний центр МОЗ України"</v>
      </c>
      <c r="C18" s="16" t="str">
        <f>IFERROR(__xludf.DUMMYFUNCTION("""COMPUTED_VALUE"""),"Київська")</f>
        <v>Київська</v>
      </c>
      <c r="D18" s="16" t="str">
        <f>IFERROR(__xludf.DUMMYFUNCTION("""COMPUTED_VALUE"""),"Київ")</f>
        <v>Київ</v>
      </c>
      <c r="E18" s="16" t="str">
        <f>IFERROR(__xludf.DUMMYFUNCTION("""COMPUTED_VALUE"""),"вул. Герцена, 31")</f>
        <v>вул. Герцена, 31</v>
      </c>
      <c r="F18" s="17" t="str">
        <f>IFERROR(__xludf.DUMMYFUNCTION("""COMPUTED_VALUE"""),"044-483-90-67")</f>
        <v>044-483-90-67</v>
      </c>
      <c r="G18" s="17" t="str">
        <f>IFERROR(__xludf.DUMMYFUNCTION("""COMPUTED_VALUE"""),"Вібрація загальна та локальна,Шум,Ультразвук,Інфразвук,Неіонізуюче випромінювання,Мікроклімат,Освітлення,Атмосферний тиск")</f>
        <v>Вібрація загальна та локальна,Шум,Ультразвук,Інфразвук,Неіонізуюче випромінювання,Мікроклімат,Освітлення,Атмосферний тиск</v>
      </c>
      <c r="H18" s="17" t="str">
        <f>IFERROR(__xludf.DUMMYFUNCTION("""COMPUTED_VALUE"""),"Азота диоксид,Азота оксид (IV) в перерарасчете на (NO2),Акролеин,Аммиак,Ангидрид малеиновый,Ангидрид масляный,Ангидрид сернистый,Ангидрид фосфорный,Ангидрид хромовый,Ацетон,Ацетальдегид,Бензин,Бензол,Бутилацетат,Винилацетат,Водорода хлорид,Водород фторист"&amp;"ий (в пересчете на F),Этилбензол,Этилацетат ,Капролактам ,Кислота уксусная,Керосин,Кислота серная,Ксилол (мета-,орто-, пара-),Масла минеральные нефтяные,Метан,Нефрас С 150/200 (в пересчете на С),Озон,Сероводород,Спирт н-бутиловый, бутиловый вторичный и тр"&amp;"етичный
,Спирт этиловий,Спирт метиловий,Спирт пропиловый,Спирт изопропиловый,Стирол,Толуол,Уайт-спирит (в пересчете на С),Углеводороды алифатические предельные,Углерода оксид,Хлор,Хрома оксид,Зерновая,Мучная, древесная и др. (с примесью диоксида кремния м"&amp;"еньше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природны"&amp;"й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"&amp;"происхождения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ка"&amp;"олиновый,Цеолиты (природные и искусственные)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"&amp;"10%,Алмазы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п"&amp;"олиакрилонитрильных волокон")</f>
        <v>Азота диоксид,Азота оксид (IV) в перерарасчете на (NO2),Акролеин,Аммиак,Ангидрид малеиновый,Ангидрид масляный,Ангидрид сернистый,Ангидрид фосфорный,Ангидрид хромовый,Ацетон,Ацетальдегид,Бензин,Бензол,Бутилацетат,Винилацетат,Водорода хлорид,Водород фтористий (в пересчете на F),Этилбензол,Этилацетат ,Капролактам ,Кислота уксусная,Керосин,Кислота серная,Ксилол (мета-,орто-, пара-),Масла минеральные нефтяные,Метан,Нефрас С 150/200 (в пересчете на С),Озон,Сероводород,Спирт н-бутиловый, бутиловый вторичный и третичный
,Спирт этиловий,Спирт метиловий,Спирт пропиловый,Спирт изопропиловый,Стирол,Толуол,Уайт-спирит (в пересчете на С),Углеводороды алифатические предельные,Углерода оксид,Хлор,Хрома оксид,Зерновая,Мучная,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v>
      </c>
      <c r="I18" s="17" t="str">
        <f>IFERROR(__xludf.DUMMYFUNCTION("""COMPUTED_VALUE"""),"")</f>
        <v/>
      </c>
      <c r="J18" s="17" t="str">
        <f>IFERROR(__xludf.DUMMYFUNCTION("""COMPUTED_VALUE"""),"Важкість праці,Напруженість праці")</f>
        <v>Важкість праці,Напруженість праці</v>
      </c>
      <c r="K18" s="18">
        <f>IFERROR(__xludf.DUMMYFUNCTION("""COMPUTED_VALUE"""),43377.0)</f>
        <v>43377</v>
      </c>
      <c r="L18" s="18" t="str">
        <f>IFERROR(__xludf.DUMMYFUNCTION("""COMPUTED_VALUE"""),"")</f>
        <v/>
      </c>
    </row>
    <row r="19">
      <c r="A19" s="11">
        <f t="shared" si="1"/>
        <v>16</v>
      </c>
      <c r="B19" s="16" t="str">
        <f>IFERROR(__xludf.DUMMYFUNCTION("""COMPUTED_VALUE"""),"ПАТ ""Кременчуцький сталеливарний завод""")</f>
        <v>ПАТ "Кременчуцький сталеливарний завод"</v>
      </c>
      <c r="C19" s="16" t="str">
        <f>IFERROR(__xludf.DUMMYFUNCTION("""COMPUTED_VALUE"""),"Полтавська")</f>
        <v>Полтавська</v>
      </c>
      <c r="D19" s="16" t="str">
        <f>IFERROR(__xludf.DUMMYFUNCTION("""COMPUTED_VALUE"""),"Кременчук")</f>
        <v>Кременчук</v>
      </c>
      <c r="E19" s="16" t="str">
        <f>IFERROR(__xludf.DUMMYFUNCTION("""COMPUTED_VALUE"""),"вул. І. Приходька,  141")</f>
        <v>вул. І. Приходька,  141</v>
      </c>
      <c r="F19" s="17" t="str">
        <f>IFERROR(__xludf.DUMMYFUNCTION("""COMPUTED_VALUE"""),"0536-76-09-01")</f>
        <v>0536-76-09-01</v>
      </c>
      <c r="G19" s="17" t="str">
        <f>IFERROR(__xludf.DUMMYFUNCTION("""COMPUTED_VALUE"""),"Вібрація загальна та локальна,Шум,Мікроклімат,Освітлення,Атмосферний тиск")</f>
        <v>Вібрація загальна та локальна,Шум,Мікроклімат,Освітлення,Атмосферний тиск</v>
      </c>
      <c r="H19" s="17" t="str">
        <f>IFERROR(__xludf.DUMMYFUNCTION("""COMPUTED_VALUE"""),"Азота диоксид,Ангидрид сернистый,Ацетон,Водорода хлорид,Водород фтористий (в пересчете на F),4,4-дифенилметандиизоцианат,Кислота серная,Масла минеральные нефтяные,Озон,Триэтиламин,Углерода оксид,Фенол,Формальдегид,Хроматы, бихроматы,Марганець в сварочном "&amp;"аэрозоле: (до 20% и 20-30%),Кремния диоксид аморфный в виде аэрозоля конденсации при содержании меньше 10 %,Кремния диоксид кристаллический (кварц, кристобелит, тридимит) при содержании в пыли больше 70% (кварцит, динас и др.);,Кремния диоксид кристалличе"&amp;"ский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др.),Кремния карбид (карборунд).,Зернова"&amp;"я,Мучная,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(с"&amp;"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цветной,Асбестобакели"&amp;"т,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стру"&amp;"ктуры,Цемент, оливин, апатит, форстерит, глина, шамот каолиновый,Цеолиты (природные и искусственные)
")</f>
        <v>Азота диоксид,Ангидрид сернистый,Ацетон,Водорода хлорид,Водород фтористий (в пересчете на F),4,4-дифенилметандиизоцианат,Кислота серная,Масла минеральные нефтяные,Озон,Триэтиламин,Углерода оксид,Фенол,Формальдегид,Хроматы, бихроматы,Марганець в сварочном аэрозоле: (до 20% и 20-30%),Кремния диоксид аморфный в виде аэрозоля конденсации при содержании меньше 10 %,Кремния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др.),Кремния карбид (карборунд).,Зерновая,Мучная,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v>
      </c>
      <c r="I19" s="17" t="str">
        <f>IFERROR(__xludf.DUMMYFUNCTION("""COMPUTED_VALUE"""),"")</f>
        <v/>
      </c>
      <c r="J19" s="17" t="str">
        <f>IFERROR(__xludf.DUMMYFUNCTION("""COMPUTED_VALUE"""),"Важкість праці,Напруженість праці")</f>
        <v>Важкість праці,Напруженість праці</v>
      </c>
      <c r="K19" s="18">
        <f>IFERROR(__xludf.DUMMYFUNCTION("""COMPUTED_VALUE"""),43377.0)</f>
        <v>43377</v>
      </c>
      <c r="L19" s="18" t="str">
        <f>IFERROR(__xludf.DUMMYFUNCTION("""COMPUTED_VALUE"""),"")</f>
        <v/>
      </c>
    </row>
    <row r="20">
      <c r="A20" s="11">
        <f t="shared" si="1"/>
        <v>17</v>
      </c>
      <c r="B20" s="16" t="str">
        <f>IFERROR(__xludf.DUMMYFUNCTION("""COMPUTED_VALUE"""),"ДУ ""Український науково-дослідний інститут промислової медицини""")</f>
        <v>ДУ "Український науково-дослідний інститут промислової медицини"</v>
      </c>
      <c r="C20" s="16" t="str">
        <f>IFERROR(__xludf.DUMMYFUNCTION("""COMPUTED_VALUE"""),"Дніпропетровська")</f>
        <v>Дніпропетровська</v>
      </c>
      <c r="D20" s="16" t="str">
        <f>IFERROR(__xludf.DUMMYFUNCTION("""COMPUTED_VALUE"""),"Кривий Ріг")</f>
        <v>Кривий Ріг</v>
      </c>
      <c r="E20" s="16" t="str">
        <f>IFERROR(__xludf.DUMMYFUNCTION("""COMPUTED_VALUE"""),"вул. Виноградова, 40")</f>
        <v>вул. Виноградова, 40</v>
      </c>
      <c r="F20" s="17" t="str">
        <f>IFERROR(__xludf.DUMMYFUNCTION("""COMPUTED_VALUE"""),"0564-94-72-18")</f>
        <v>0564-94-72-18</v>
      </c>
      <c r="G20" s="17" t="str">
        <f>IFERROR(__xludf.DUMMYFUNCTION("""COMPUTED_VALUE"""),"Вібрація загальна та локальна,Шум,Ультразвук,Інфразвук,Неіонізуюче випромінювання,Іонізуюче випромінювання,Мікроклімат,Освітлення,Атмосферний тиск")</f>
        <v>Вібрація загальна та локальна,Шум,Ультразвук,Інфразвук,Неіонізуюче випромінювання,Іонізуюче випромінювання,Мікроклімат,Освітлення,Атмосферний тиск</v>
      </c>
      <c r="H20" s="17" t="str">
        <f>IFERROR(__xludf.DUMMYFUNCTION("""COMPUTED_VALUE"""),"Азота диоксид,Азота оксид (IV) в перерарасчете на (NO2),Акролеин,Аммиак,Ангидрид сернистый,Ацетон,Ванадий и его соединения,Водорода хлорид,Гексан,Гидразин и его производные,Электрокорунд, электрокорунд хромистый,Эпихлоргидрин,Кислота уксусная,Кислота серн"&amp;"ая,Ксилол (мета-,орто-, пара-),Масла минеральные нефтяные,Озон,Сероводород,Свинец и его неорганические соединения (по свинцу),Скипидар,Стирол,Уайт-спирит (в пересчете на С),Углерода оксид,Фенол,Формальдегид,Хлор,Хрома оксид (по Cr+3),Щелочи едкие (раствор"&amp;"ы в перерасчете на NaOH),Марганець в сварочном аэрозоле: (до 20% и 20-30%),Кремния диоксид аморфный в виде аэрозоля конденсации при содержании меньше 10 %,Кремния диоксид кристаллический (кварц, кристобелит, тридимит) при содержании в пыли больше 70% (ква"&amp;"рцит,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"&amp;"руды и др.),Кремния карбид (карборунд).,Магнезит,Смолодоломит,Зерновая,Мучная,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10%),Лубяна"&amp;"я,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н"&amp;"их асбеста до 10 %,Асбестоцемент неокрашенный и цветной,Асбестобакелит, асбесторезина,Слюды,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структуры,Ц"&amp;"емент, оливин, апатит, форстерит, глина, шамот каолиновый,Коксы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5"&amp;"%, от 5% до 10%")</f>
        <v>Азота диоксид,Азота оксид (IV) в перерарасчете на (NO2),Акролеин,Аммиак,Ангидрид сернистый,Ацетон,Ванадий и его соединения,Водорода хлорид,Гексан,Гидразин и его производные,Электрокорунд, электрокорунд хромистый,Эпихлоргидрин,Кислота уксусная,Кислота серная,Ксилол (мета-,орто-, пара-),Масла минеральные нефтяные,Озон,Сероводород,Свинец и его неорганические соединения (по свинцу),Скипидар,Стирол,Уайт-спирит (в пересчете на С),Углерода оксид,Фенол,Формальдегид,Хлор,Хрома оксид (по Cr+3),Щелочи едкие (растворы в перерасчете на NaOH),Марганець в сварочном аэрозоле: (до 20% и 20-30%),Кремния диоксид аморфный в виде аэрозоля конденсации при содержании меньше 10 %,Кремния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др.),Кремния карбид (карборунд).,Магнезит,Смолодоломит,Зерновая,Мучная,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v>
      </c>
      <c r="I20" s="17" t="str">
        <f>IFERROR(__xludf.DUMMYFUNCTION("""COMPUTED_VALUE"""),"")</f>
        <v/>
      </c>
      <c r="J20" s="17" t="str">
        <f>IFERROR(__xludf.DUMMYFUNCTION("""COMPUTED_VALUE"""),"Важкість праці,Напруженість праці")</f>
        <v>Важкість праці,Напруженість праці</v>
      </c>
      <c r="K20" s="18">
        <f>IFERROR(__xludf.DUMMYFUNCTION("""COMPUTED_VALUE"""),43378.0)</f>
        <v>43378</v>
      </c>
      <c r="L20" s="18" t="str">
        <f>IFERROR(__xludf.DUMMYFUNCTION("""COMPUTED_VALUE"""),"")</f>
        <v/>
      </c>
    </row>
    <row r="21">
      <c r="A21" s="11">
        <f t="shared" si="1"/>
        <v>18</v>
      </c>
      <c r="B21" s="16" t="str">
        <f>IFERROR(__xludf.DUMMYFUNCTION("""COMPUTED_VALUE"""),"Санітарно-технічна лабораторія ПрАТ ""Маріупольський металургійний комбінат ім. Ілліча""")</f>
        <v>Санітарно-технічна лабораторія ПрАТ "Маріупольський металургійний комбінат ім. Ілліча"</v>
      </c>
      <c r="C21" s="16" t="str">
        <f>IFERROR(__xludf.DUMMYFUNCTION("""COMPUTED_VALUE"""),"Донецька")</f>
        <v>Донецька</v>
      </c>
      <c r="D21" s="16" t="str">
        <f>IFERROR(__xludf.DUMMYFUNCTION("""COMPUTED_VALUE"""),"Маріуполь")</f>
        <v>Маріуполь</v>
      </c>
      <c r="E21" s="16" t="str">
        <f>IFERROR(__xludf.DUMMYFUNCTION("""COMPUTED_VALUE"""),"вул. Левченка, 1")</f>
        <v>вул. Левченка, 1</v>
      </c>
      <c r="F21" s="17" t="str">
        <f>IFERROR(__xludf.DUMMYFUNCTION("""COMPUTED_VALUE"""),"0629-563-376")</f>
        <v>0629-563-376</v>
      </c>
      <c r="G21" s="17" t="str">
        <f>IFERROR(__xludf.DUMMYFUNCTION("""COMPUTED_VALUE"""),"Вібрація загальна та локальна,Шум,Неіонізуюче випромінювання,Мікроклімат,Освітлення,Атмосферний тиск")</f>
        <v>Вібрація загальна та локальна,Шум,Неіонізуюче випромінювання,Мікроклімат,Освітлення,Атмосферний тиск</v>
      </c>
      <c r="H21" s="17" t="str">
        <f>IFERROR(__xludf.DUMMYFUNCTION("""COMPUTED_VALUE"""),"Азота диоксид,Алюминий и його сплавы,Алюминия  оксид в смеси со сплавом никеля до 15% (электрокорунд),Аммиак,Ангидрид сернистый,Ангидрид фосфорный,Ангидрид хромовый,Ацетон,Бензол,Ванадий и его соединения,Водорода хлорид,Водород фтористий (в пересчете на F"&amp;"),Керамика,Кислота серная,Ксилол (мета-,орто-, пара-),Медь,Марганца оксиды (в пересчете на MnO2) аэрозоль дезинтеграции,Марганца оксиды (в пересчете на MnO2) аэрозоль конденсации,Масла минеральные нефтяные,Никель, никеля оксиды, сульфиды и смеси соединени"&amp;"й никеля (файнштейн, никелевый концентрат и агломерат, оборотная пыль очистных устройств (по Ni)
,Озон,Сероводород,Свинец и его неорганические соединения (по свинцу),Толуол,Углеводороды алифатические предельные,Углерода оксид,Фториды натрия, калия, аммони"&amp;"я, цинка, олова, серебра, лития и бария, криолит, гидрофторид аммония,Фториди алюминия, магния, кальция, стронция, меди, хрома;,Фенол,Формальдегид,Хлор,Хрома оксид (по Cr+3),Цинка оксид,Щелочи едкие (растворы в перерасчете на NaOH),Алюминия оксид с примес"&amp;"ью свободного диоксида кремния до 15% и оксида железа до 10% ( в виде аерозоля конденсации),Алюминия оксид с примесью диоксида кремния ( в виде аерозоля конденсации),Марганець в сварочном аэрозоле: (до 20% и 20-30%),Алюминия оксид в виде аэрозоля дезинтег"&amp;"рации (глинозем, электрокорунд, монокорунд),Бокситы,Доломит,Железный агломерат,Железорудные окатыши,Известняк,Кальция оксид,Кремния диоксид аморфный в виде аэрозоля конденсации при содержании: больше 60 %,Кремния диоксид аморфный в виде аэрозоля конденсац"&amp;"ии при содержании 60-10 %,Кремния диоксид аморфный в виде аэрозоля конденсации при содержании меньше 10 %,Кремния диоксид аморфный в виде аэрозоля дезинтеграции (диатомит, кварцевое стекло, плавленый кварц, трепел);,Кремния диоксид кристаллический (кварц,"&amp;"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пыл"&amp;"е от 2 до 10 % (горючие кукерситные сланцы, медно сульфидные руды и др.),Магнезит,Смолодоломит,Зерновая,Мучная, древесная и др. (с примесью диоксида кремния меньше 2 %),Лубяная, хлопчато-бумажная, хлопковая, льняная, шерстяная, пуховая и др. (с примесью д"&amp;"иоксида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10 %,Асбест"&amp;"опородные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свободно"&amp;"го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сланцевый"&amp;",Антрацит с содержанием свободного диоксида кремния до 5 %,Другие ископаемые угли и углеродные пыли с содержанием свободного диоксида кремния до 5%, от 5% до 10%")</f>
        <v>Азота диоксид,Алюминий и його сплавы,Алюминия  оксид в смеси со сплавом никеля до 15% (электрокорунд),Аммиак,Ангидрид сернистый,Ангидрид фосфорный,Ангидрид хромовый,Ацетон,Бензол,Ванадий и его соединения,Водорода хлорид,Водород фтористий (в пересчете на F),Керамика,Кислота серная,Ксилол (мета-,орто-, пара-),Медь,Марганца оксиды (в пересчете на MnO2) аэрозоль дезинтеграции,Марганца оксиды (в пересчете на MnO2) аэрозоль конденсации,Масла минеральные нефтяные,Никель, никеля оксиды, сульфиды и смеси соединений никеля (файнштейн, никелевый концентрат и агломерат, оборотная пыль очистных устройств (по Ni)
,Озон,Сероводород,Свинец и его неорганические соединения (по свинцу),Толуол,Углеводороды алифатические предельные,Углерода оксид,Фториды натрия, калия, аммония, цинка, олова, серебра, лития и бария, криолит, гидрофторид аммония,Фториди алюминия, магния, кальция, стронция, меди, хрома;,Фенол,Формальдегид,Хлор,Хрома оксид (по Cr+3),Цинка оксид,Щелочи едкие (растворы в перерасчете на NaOH),Алюминия оксид с примесью свободного диоксида кремния до 15% и оксида железа до 10% ( в виде аерозоля конденсации),Алюминия оксид с примесью диоксида кремния ( в виде аерозоля конденсации),Марганець в сварочном аэрозоле: (до 20% и 20-30%),Алюминия оксид в виде аэрозоля дезинтеграции (глинозем, электрокорунд, монокорунд),Бокситы,Доломит,Железный агломерат,Железорудные окатыши,Известняк,Кальция оксид,Кремния диоксид аморфный в виде аэрозоля конденсации при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аморфный в виде аэрозоля дезинтеграции (диатомит, кварцевое стекло, плавленый кварц, трепел);,Кремния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др.),Магнезит,Смолодоломит,Зерновая,Мучная,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v>
      </c>
      <c r="I21" s="17" t="str">
        <f>IFERROR(__xludf.DUMMYFUNCTION("""COMPUTED_VALUE"""),"")</f>
        <v/>
      </c>
      <c r="J21" s="17" t="str">
        <f>IFERROR(__xludf.DUMMYFUNCTION("""COMPUTED_VALUE"""),"Важкість праці,Напруженість праці")</f>
        <v>Важкість праці,Напруженість праці</v>
      </c>
      <c r="K21" s="18">
        <f>IFERROR(__xludf.DUMMYFUNCTION("""COMPUTED_VALUE"""),43382.0)</f>
        <v>43382</v>
      </c>
      <c r="L21" s="18" t="str">
        <f>IFERROR(__xludf.DUMMYFUNCTION("""COMPUTED_VALUE"""),"")</f>
        <v/>
      </c>
    </row>
    <row r="22">
      <c r="A22" s="11">
        <f t="shared" si="1"/>
        <v>19</v>
      </c>
      <c r="B22" s="16" t="str">
        <f>IFERROR(__xludf.DUMMYFUNCTION("""COMPUTED_VALUE"""),"Слов'янська районна філія ДУ ""Донецький обласний лабораторний центр МОЗ України""")</f>
        <v>Слов'янська районна філія ДУ "Донецький обласний лабораторний центр МОЗ України"</v>
      </c>
      <c r="C22" s="16" t="str">
        <f>IFERROR(__xludf.DUMMYFUNCTION("""COMPUTED_VALUE"""),"Донецька")</f>
        <v>Донецька</v>
      </c>
      <c r="D22" s="16" t="str">
        <f>IFERROR(__xludf.DUMMYFUNCTION("""COMPUTED_VALUE"""),"Слов'янськ")</f>
        <v>Слов'янськ</v>
      </c>
      <c r="E22" s="16" t="str">
        <f>IFERROR(__xludf.DUMMYFUNCTION("""COMPUTED_VALUE"""),"вул. Свободи, 12")</f>
        <v>вул. Свободи, 12</v>
      </c>
      <c r="F22" s="17" t="str">
        <f>IFERROR(__xludf.DUMMYFUNCTION("""COMPUTED_VALUE"""),"06262-3-57-62")</f>
        <v>06262-3-57-62</v>
      </c>
      <c r="G22" s="17" t="str">
        <f>IFERROR(__xludf.DUMMYFUNCTION("""COMPUTED_VALUE"""),"Вібрація загальна та локальна,Шум,Іонізуюче випромінювання,Мікроклімат,Освітлення,Атмосферний тиск")</f>
        <v>Вібрація загальна та локальна,Шум,Іонізуюче випромінювання,Мікроклімат,Освітлення,Атмосферний тиск</v>
      </c>
      <c r="H22" s="17" t="str">
        <f>IFERROR(__xludf.DUMMYFUNCTION("""COMPUTED_VALUE"""),"Азота диоксид,Азота оксид (IV) в перерарасчете на (NO2),Акролеин,Амилацетат,Аммиак,Ангидрид сернистый,Ангидрид фосфорный,Ангидрид хромовый,Ацетон,Бензин,Бензол,Бутилацетат,Водорода хлорид,Эпихлоргидрин,Этилацетат ,Кадмий и его неорганические соединения,Ки"&amp;"слота уксусная,Керосин,Кислота серная,Ксилол (мета-,орто-, пара-),Масла минеральные нефтяные,Никель, никеля оксиды, сульфиды и смеси соединений никеля (файнштейн, никелевый концентрат и агломерат, оборотная пыль очистных устройств (по Ni)
,Озон,Ртуть,Серо"&amp;"водород,Свинец и его неорганические соединения (по свинцу),Скипидар,Спирт метиловий,Толуол,Уайт-спирит (в пересчете на С),Углерода оксид,Фенол,Формальдегид,Хлор,Цинка оксид,Щелочи едкие (растворы в перерасчете на NaOH),Марганець в сварочном аэрозоле: (до "&amp;"20% и 20-30%),Зерновая,Мучная,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шерстя"&amp;"ная, пуховая и др. (с примесью диоксида кремния от 2 до 10 %),Силикатсодержащие пыли, силикаты, алюмосиликаты при содержанииасбеста от 10 до 20%
,Цемент, оливин, апатит, форстерит, глина, шамот каолиновый,Цеолиты (природные и искусственные)
,Коксы каменно"&amp;"угольный,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10%,Сажи черные промышленные с содержанием бензапирена не б"&amp;"олее 35 мг на 1 кг")</f>
        <v>Азота диоксид,Азота оксид (IV) в перерарасчете на (NO2),Акролеин,Амилацетат,Аммиак,Ангидрид сернистый,Ангидрид фосфорный,Ангидрид хромовый,Ацетон,Бензин,Бензол,Бутилацетат,Водорода хлорид,Эпихлоргидрин,Этилацетат ,Кадмий и его неорганические соединения,Кислота уксусная,Керосин,Кислота серная,Ксилол (мета-,орто-, пара-),Масла минеральные нефтяные,Никель, никеля оксиды, сульфиды и смеси соединений никеля (файнштейн, никелевый концентрат и агломерат, оборотная пыль очистных устройств (по Ni)
,Озон,Ртуть,Сероводород,Свинец и его неорганические соединения (по свинцу),Скипидар,Спирт метиловий,Толуол,Уайт-спирит (в пересчете на С),Углерода оксид,Фенол,Формальдегид,Хлор,Цинка оксид,Щелочи едкие (растворы в перерасчете на NaOH),Марганець в сварочном аэрозоле: (до 20% и 20-30%),Зерновая,Мучная,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10 %),Силикатсодержащие пыли, силикаты, алюмосиликаты при содержанииасбеста от 10 до 20%
,Цемент, оливин, апатит, форстерит, глина, шамот каолиновый,Цеолиты (природные и искусственные)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10%,Сажи черные промышленные с содержанием бензапирена не более 35 мг на 1 кг</v>
      </c>
      <c r="I22" s="17" t="str">
        <f>IFERROR(__xludf.DUMMYFUNCTION("""COMPUTED_VALUE"""),"")</f>
        <v/>
      </c>
      <c r="J22" s="17" t="str">
        <f>IFERROR(__xludf.DUMMYFUNCTION("""COMPUTED_VALUE"""),"Важкість праці,Напруженість праці")</f>
        <v>Важкість праці,Напруженість праці</v>
      </c>
      <c r="K22" s="18">
        <f>IFERROR(__xludf.DUMMYFUNCTION("""COMPUTED_VALUE"""),43384.0)</f>
        <v>43384</v>
      </c>
      <c r="L22" s="18" t="str">
        <f>IFERROR(__xludf.DUMMYFUNCTION("""COMPUTED_VALUE"""),"")</f>
        <v/>
      </c>
    </row>
    <row r="23">
      <c r="A23" s="11">
        <f t="shared" si="1"/>
        <v>20</v>
      </c>
      <c r="B23" s="16" t="str">
        <f>IFERROR(__xludf.DUMMYFUNCTION("""COMPUTED_VALUE"""),"Дружківська міська філія ДУ ""Донецький обласний лабораторний центр МОЗ України""")</f>
        <v>Дружківська міська філія ДУ "Донецький обласний лабораторний центр МОЗ України"</v>
      </c>
      <c r="C23" s="16" t="str">
        <f>IFERROR(__xludf.DUMMYFUNCTION("""COMPUTED_VALUE"""),"Донецька")</f>
        <v>Донецька</v>
      </c>
      <c r="D23" s="16" t="str">
        <f>IFERROR(__xludf.DUMMYFUNCTION("""COMPUTED_VALUE"""),"Дружківка")</f>
        <v>Дружківка</v>
      </c>
      <c r="E23" s="16" t="str">
        <f>IFERROR(__xludf.DUMMYFUNCTION("""COMPUTED_VALUE"""),"вул. Енгельса, 76")</f>
        <v>вул. Енгельса, 76</v>
      </c>
      <c r="F23" s="17" t="str">
        <f>IFERROR(__xludf.DUMMYFUNCTION("""COMPUTED_VALUE"""),"06264-3-54-18")</f>
        <v>06264-3-54-18</v>
      </c>
      <c r="G23" s="17" t="str">
        <f>IFERROR(__xludf.DUMMYFUNCTION("""COMPUTED_VALUE"""),"Вібрація загальна та локальна,Шум,Неіонізуюче випромінювання,Мікроклімат,Освітлення,Атмосферний тиск")</f>
        <v>Вібрація загальна та локальна,Шум,Неіонізуюче випромінювання,Мікроклімат,Освітлення,Атмосферний тиск</v>
      </c>
      <c r="H23" s="17" t="str">
        <f>IFERROR(__xludf.DUMMYFUNCTION("""COMPUTED_VALUE"""),"Азота диоксид,Азота оксид (IV) в перерарасчете на (NO2),Акролеин,Аммиак,Ангидрид сернистый,Ангидрид фосфорный,Ангидрид хромовый,Ацетон,Бензин,Водорода хлорид,Водород фтористий (в пересчете на F),Кислота уксусная,Керосин,Кислота серная,Ксилол (мета-,орто-,"&amp;" пара-),Медь,Масла минеральные нефтяные,Метилмеркаптан,Натрия хлорид,Озон,Ртуть,Сероводород,Свинец и его неорганические соединения (по свинцу),Скипидар,Тетраэтилсвинец,Толуол,Уайт-спирит (в пересчете на С),Углерода оксид,Фенол,Формальдегид,Хлор,Хрома окси"&amp;"д (по Cr+3),Цинка оксид,Щелочи едкие (растворы в перерасчете на NaOH),Марганець в сварочном аэрозоле: (до 20% и 20-30%),Пыль доменного шлака,Зерновая,Мучная, древесная и др. (с примесью диоксида кремния меньше 2 %),Лубяная, хлопчато-бумажная, хлопковая, л"&amp;"ьняная, шерстяная, пуховая и др. (с примесью диоксида кремния более 10%),Асбест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неок"&amp;"рашенный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алю"&amp;"мосиликатные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сланцевый,Антрацит с содержанием свободного диоксида кремния до 5 %,Другие иско"&amp;"паемые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"&amp;"на основе гидрат целлюлозных волокон,Углеродные волокнистые материалы на основе гидрат полиакрилонитрильных волокон")</f>
        <v>Азота диоксид,Азота оксид (IV) в перерарасчете на (NO2),Акролеин,Аммиак,Ангидрид сернистый,Ангидрид фосфорный,Ангидрид хромовый,Ацетон,Бензин,Водорода хлорид,Водород фтористий (в пересчете на F),Кислота уксусная,Керосин,Кислота серная,Ксилол (мета-,орто-, пара-),Медь,Масла минеральные нефтяные,Метилмеркаптан,Натрия хлорид,Озон,Ртуть,Сероводород,Свинец и его неорганические соединения (по свинцу),Скипидар,Тетраэтилсвинец,Толуол,Уайт-спирит (в пересчете на С),Углерода оксид,Фенол,Формальдегид,Хлор,Хрома оксид (по Cr+3),Цинка оксид,Щелочи едкие (растворы в перерасчете на NaOH),Марганець в сварочном аэрозоле: (до 20% и 20-30%),Пыль доменного шлака,Зерновая,Мучная,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v>
      </c>
      <c r="I23" s="17" t="str">
        <f>IFERROR(__xludf.DUMMYFUNCTION("""COMPUTED_VALUE"""),"")</f>
        <v/>
      </c>
      <c r="J23" s="17" t="str">
        <f>IFERROR(__xludf.DUMMYFUNCTION("""COMPUTED_VALUE"""),"Важкість праці,Напруженість праці")</f>
        <v>Важкість праці,Напруженість праці</v>
      </c>
      <c r="K23" s="18">
        <f>IFERROR(__xludf.DUMMYFUNCTION("""COMPUTED_VALUE"""),43382.0)</f>
        <v>43382</v>
      </c>
      <c r="L23" s="18" t="str">
        <f>IFERROR(__xludf.DUMMYFUNCTION("""COMPUTED_VALUE"""),"")</f>
        <v/>
      </c>
    </row>
    <row r="24">
      <c r="A24" s="11">
        <f t="shared" si="1"/>
        <v>21</v>
      </c>
      <c r="B24" s="16" t="str">
        <f>IFERROR(__xludf.DUMMYFUNCTION("""COMPUTED_VALUE"""),"Торецька міська філія ДУ ""Донецький обласний лабораторний центр МОЗ України""")</f>
        <v>Торецька міська філія ДУ "Донецький обласний лабораторний центр МОЗ України"</v>
      </c>
      <c r="C24" s="16" t="str">
        <f>IFERROR(__xludf.DUMMYFUNCTION("""COMPUTED_VALUE"""),"Донецька")</f>
        <v>Донецька</v>
      </c>
      <c r="D24" s="16" t="str">
        <f>IFERROR(__xludf.DUMMYFUNCTION("""COMPUTED_VALUE"""),"Торецьк")</f>
        <v>Торецьк</v>
      </c>
      <c r="E24" s="16" t="str">
        <f>IFERROR(__xludf.DUMMYFUNCTION("""COMPUTED_VALUE"""),"вул. Треста, 8")</f>
        <v>вул. Треста, 8</v>
      </c>
      <c r="F24" s="17" t="str">
        <f>IFERROR(__xludf.DUMMYFUNCTION("""COMPUTED_VALUE"""),"06247-4-01-36")</f>
        <v>06247-4-01-36</v>
      </c>
      <c r="G24" s="17" t="str">
        <f>IFERROR(__xludf.DUMMYFUNCTION("""COMPUTED_VALUE"""),"Вібрація загальна та локальна,Шум,Неіонізуюче випромінювання,Мікроклімат,Освітлення,Атмосферний тиск")</f>
        <v>Вібрація загальна та локальна,Шум,Неіонізуюче випромінювання,Мікроклімат,Освітлення,Атмосферний тиск</v>
      </c>
      <c r="H24" s="17" t="str">
        <f>IFERROR(__xludf.DUMMYFUNCTION("""COMPUTED_VALUE"""),"Азота диоксид,Акролеин,Алюминий и його сплавы,Аммиак,Ангидрид сернистый,Ангидрид фосфорный,Ангидрид хромовый,Ацетон,Бензин,Бензол,Бенз(а)пирен,Ванадий и его соединения,Водорода хлорид,Водород фтористий (в пересчете на F),Кислота уксусная,Керамика,Кислота "&amp;"серная,Ксилол (мета-,орто-, пара-),Медь,Марганца оксиды (в пересчете на MnO2) аэрозоль дезинтеграции,Марганца оксиды (в пересчете на MnO2) аэрозоль конденсации,Масла минеральные нефтяные,Нафталин,Никель, никеля оксиды, сульфиды и смеси соединений никеля ("&amp;"файнштейн, никелевый концентрат и агломерат, оборотная пыль очистных устройств (по Ni)
,Озон,Пиридин,Ртуть,Сероводород,Свинец и его неорганические соединения (по свинцу),Сода кальцинированная,Толуол,Уайт-спирит (в пересчете на С),Углеводороды алифатически"&amp;"е предельные,Углерода оксид,Фенол,Формальдегид,Хлор,Хрома оксид (по Cr+6),Цинка оксид,Щелочи едкие (растворы в перерасчете на NaOH),Алюминия оксид в виде аэрозоля дезинтеграции (глинозем, электрокорунд, монокорунд),Алюминия оксид с примесью свободного дио"&amp;"ксида кремния до 15% и оксида железа до 10% ( в виде аерозоля конденсации),Алюминия оксид с примесью диоксида кремния ( в виде аерозоля конденсации),Марганець в сварочном аэрозоле: (до 20% и 20-30%),Известняк,Кремния диоксид аморфный в виде аэрозоля конде"&amp;"нсации при содержании: больше 60 %,Кремния диоксид аморфный в виде аэрозоля конденсации при содержании 60-10 %,Пыль доменного шлака,Зерновая,Мучная, древесная и др. (с примесью диоксида кремния меньше 2 %),Лубяная, хлопчато-бумажная, хлопковая, льняная, ш"&amp;"ерстяная,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10 %),Силикатсодержащие пыли, силикаты, алюмосиликаты при содержании асбеста мене"&amp;"е 10%; асбестоцемент,Силикатсодержащие пыли, силикаты, алюмосиликаты при содержанииасбеста от 10 до 20%
,Силикатсодержащие пыли, силикаты, алюмосиликаты асбесты природные (хризолит, актофиллит, эктинолит, тремолит, магнезиарфведсонит) и синтетическиеасбес"&amp;"ты, а такжесмешанныеасбестопородныепыли при содержании в них асбестаболее 20%;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пы"&amp;"ли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каменноугольный,"&amp;"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чер"&amp;"ные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f>
        <v>Азота диоксид,Акролеин,Алюминий и його сплавы,Аммиак,Ангидрид сернистый,Ангидрид фосфорный,Ангидрид хромовый,Ацетон,Бензин,Бензол,Бенз(а)пирен,Ванадий и его соединения,Водорода хлорид,Водород фтористий (в пересчете на F),Кислота уксусная,Керамика,Кислота серная,Ксилол (мета-,орто-, пара-),Медь,Марганца оксиды (в пересчете на MnO2) аэрозоль дезинтеграции,Марганца оксиды (в пересчете на MnO2) аэрозоль конденсации,Масла минеральные нефтяные,Нафталин,Никель, никеля оксиды, сульфиды и смеси соединений никеля (файнштейн, никелевый концентрат и агломерат, оборотная пыль очистных устройств (по Ni)
,Озон,Пиридин,Ртуть,Сероводород,Свинец и его неорганические соединения (по свинцу),Сода кальцинированная,Толуол,Уайт-спирит (в пересчете на С),Углеводороды алифатические предельные,Углерода оксид,Фенол,Формальдегид,Хлор,Хрома оксид (по Cr+6),Цинка оксид,Щелочи едкие (растворы в перерасчете на NaOH),Алюминия оксид в виде аэрозоля дезинтеграции (глинозем, электрокорунд, монокорунд),Алюминия оксид с примесью свободного диоксида кремния до 15% и оксида железа до 10% ( в виде аерозоля конденсации),Алюминия оксид с примесью диоксида кремния ( в виде аерозоля конденсации),Марганець в сварочном аэрозоле: (до 20% и 20-30%),Известняк,Кремния диоксид аморфный в виде аэрозоля конденсации при содержании: больше 60 %,Кремния диоксид аморфный в виде аэрозоля конденсации при содержании 60-10 %,Пыль доменного шлака,Зерновая,Мучная,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10 %),Силикатсодержащие пыли, силикаты, алюмосиликаты при содержании асбеста менее 10%; асбестоцемент,Силикатсодержащие пыли, силикаты, алюмосиликаты при содержанииасбеста от 10 до 20%
,Силикатсодержащие пыли, силикаты, алюмосиликаты асбесты природные (хризолит, актофиллит, эктинолит, тремолит, магнезиарфведсонит) и синтетическиеасбесты, а такжесмешанныеасбестопородныепыли при содержании в них асбестаболее 20%;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v>
      </c>
      <c r="I24" s="17" t="str">
        <f>IFERROR(__xludf.DUMMYFUNCTION("""COMPUTED_VALUE"""),"")</f>
        <v/>
      </c>
      <c r="J24" s="17" t="str">
        <f>IFERROR(__xludf.DUMMYFUNCTION("""COMPUTED_VALUE"""),"Важкість праці,Напруженість праці")</f>
        <v>Важкість праці,Напруженість праці</v>
      </c>
      <c r="K24" s="18">
        <f>IFERROR(__xludf.DUMMYFUNCTION("""COMPUTED_VALUE"""),43384.0)</f>
        <v>43384</v>
      </c>
      <c r="L24" s="18" t="str">
        <f>IFERROR(__xludf.DUMMYFUNCTION("""COMPUTED_VALUE"""),"")</f>
        <v/>
      </c>
    </row>
    <row r="25">
      <c r="A25" s="11">
        <f t="shared" si="1"/>
        <v>22</v>
      </c>
      <c r="B25" s="16" t="str">
        <f>IFERROR(__xludf.DUMMYFUNCTION("""COMPUTED_VALUE"""),"ВП Дніпродзержинський хімічний завод ДП ""Східний гірничо-збагачувальний комбінат""")</f>
        <v>ВП Дніпродзержинський хімічний завод ДП "Східний гірничо-збагачувальний комбінат"</v>
      </c>
      <c r="C25" s="16" t="str">
        <f>IFERROR(__xludf.DUMMYFUNCTION("""COMPUTED_VALUE"""),"Дніпропетровська")</f>
        <v>Дніпропетровська</v>
      </c>
      <c r="D25" s="16" t="str">
        <f>IFERROR(__xludf.DUMMYFUNCTION("""COMPUTED_VALUE"""),"м. Кам'янське")</f>
        <v>м. Кам'янське</v>
      </c>
      <c r="E25" s="16" t="str">
        <f>IFERROR(__xludf.DUMMYFUNCTION("""COMPUTED_VALUE"""),"просп. Аношкіна, 179")</f>
        <v>просп. Аношкіна, 179</v>
      </c>
      <c r="F25" s="17" t="str">
        <f>IFERROR(__xludf.DUMMYFUNCTION("""COMPUTED_VALUE"""),"095-312-62-20")</f>
        <v>095-312-62-20</v>
      </c>
      <c r="G25" s="17" t="str">
        <f>IFERROR(__xludf.DUMMYFUNCTION("""COMPUTED_VALUE"""),"Вібрація загальна та локальна,Шум,Іонізуюче випромінювання,Мікроклімат,Освітлення,Атмосферний тиск")</f>
        <v>Вібрація загальна та локальна,Шум,Іонізуюче випромінювання,Мікроклімат,Освітлення,Атмосферний тиск</v>
      </c>
      <c r="H25" s="17" t="str">
        <f>IFERROR(__xludf.DUMMYFUNCTION("""COMPUTED_VALUE"""),"Азота диоксид,Аммиак,Ангидрид сернистый,Бензин,Водорода хлорид,Водород фтористий (в пересчете на F),Кальция фторид,Керосин,Кислота серная,Ксилол (мета-,орто-, пара-),Марганца оксиды (в пересчете на MnO2) аэрозоль дезинтеграции,Масла минеральные нефтяные,Н"&amp;"икель,Сероводород,Свинец и его неорганические соединения (по свинцу),Титан и его диоксид,Трибутилфосфат,Толуол,Уайт-спирит (в пересчете на С),Углерода оксид,Фториди алюминия, магния, кальция, стронция, меди, хрома;,Хроматы, бихроматы,Хрома оксид (по Cr+3)"&amp;",Циркония тетрафторид,Щелочи едкие (растворы в перерасчете на NaOH),Марганець в сварочном аэрозоле: (до 20% и 20-30%),Хрома оксид,Железный агломерат,Кремния карбид (карборунд).,Шамотнографитовые огнеупоры,Искусственные минеральные волокна силикатные и алю"&amp;"мосиликатные стеклообразной структуры")</f>
        <v>Азота диоксид,Аммиак,Ангидрид сернистый,Бензин,Водорода хлорид,Водород фтористий (в пересчете на F),Кальция фторид,Керосин,Кислота серная,Ксилол (мета-,орто-, пара-),Марганца оксиды (в пересчете на MnO2) аэрозоль дезинтеграции,Масла минеральные нефтяные,Никель,Сероводород,Свинец и его неорганические соединения (по свинцу),Титан и его диоксид,Трибутилфосфат,Толуол,Уайт-спирит (в пересчете на С),Углерода оксид,Фториди алюминия, магния, кальция, стронция, меди, хрома;,Хроматы, бихроматы,Хрома оксид (по Cr+3),Циркония тетрафторид,Щелочи едкие (растворы в перерасчете на NaOH),Марганець в сварочном аэрозоле: (до 20% и 20-30%),Хрома оксид,Железный агломерат,Кремния карбид (карборунд).,Шамотнографитовые огнеупоры,Искусственные минеральные волокна силикатные и алюмосиликатные стеклообразной структуры</v>
      </c>
      <c r="I25" s="17" t="str">
        <f>IFERROR(__xludf.DUMMYFUNCTION("""COMPUTED_VALUE"""),"")</f>
        <v/>
      </c>
      <c r="J25" s="17" t="str">
        <f>IFERROR(__xludf.DUMMYFUNCTION("""COMPUTED_VALUE"""),"Важкість праці,Напруженість праці")</f>
        <v>Важкість праці,Напруженість праці</v>
      </c>
      <c r="K25" s="18">
        <f>IFERROR(__xludf.DUMMYFUNCTION("""COMPUTED_VALUE"""),43390.0)</f>
        <v>43390</v>
      </c>
      <c r="L25" s="18" t="str">
        <f>IFERROR(__xludf.DUMMYFUNCTION("""COMPUTED_VALUE"""),"")</f>
        <v/>
      </c>
    </row>
    <row r="26">
      <c r="A26" s="11">
        <f t="shared" si="1"/>
        <v>23</v>
      </c>
      <c r="B26" s="16" t="str">
        <f>IFERROR(__xludf.DUMMYFUNCTION("""COMPUTED_VALUE"""),"ТОВ ""Науково-технічний, медико-екологічний центр ""Екосистема""")</f>
        <v>ТОВ "Науково-технічний, медико-екологічний центр "Екосистема"</v>
      </c>
      <c r="C26" s="16" t="str">
        <f>IFERROR(__xludf.DUMMYFUNCTION("""COMPUTED_VALUE"""),"Харківська")</f>
        <v>Харківська</v>
      </c>
      <c r="D26" s="16" t="str">
        <f>IFERROR(__xludf.DUMMYFUNCTION("""COMPUTED_VALUE"""),"Харків")</f>
        <v>Харків</v>
      </c>
      <c r="E26" s="16" t="str">
        <f>IFERROR(__xludf.DUMMYFUNCTION("""COMPUTED_VALUE"""),"вул. Академіка Павлова, 44А")</f>
        <v>вул. Академіка Павлова, 44А</v>
      </c>
      <c r="F26" s="17" t="str">
        <f>IFERROR(__xludf.DUMMYFUNCTION("""COMPUTED_VALUE"""),"057-738-12-38    057-738-33-27")</f>
        <v>057-738-12-38    057-738-33-27</v>
      </c>
      <c r="G26" s="17" t="str">
        <f>IFERROR(__xludf.DUMMYFUNCTION("""COMPUTED_VALUE"""),"Вібрація загальна та локальна,Шум,Неіонізуюче випромінювання,Мікроклімат,Освітлення,Атмосферний тиск")</f>
        <v>Вібрація загальна та локальна,Шум,Неіонізуюче випромінювання,Мікроклімат,Освітлення,Атмосферний тиск</v>
      </c>
      <c r="H26" s="17" t="str">
        <f>IFERROR(__xludf.DUMMYFUNCTION("""COMPUTED_VALUE"""),"Азота диоксид,Азота оксид (IV) в перерарасчете на (NO2),Акрилонитрил,Акролеин,Алюминий и його сплавы,Аммиак,Ангидрид сернистый,Ангидрид фосфорный,Ангидрид хромовый,Ацетон,Ацетальдегид,Бензин,Бензол,Бутилацетат,Водорода хлорид,Водорода цианид,Водород мышья"&amp;"ковистый (арсин),Водород фосфористый (фосфин),Водород фтористий (в пересчете на F),Гексаметилендиамин,Гидразин и его производные,Дихлорэтан,Дибутилфталат,Эпихлоргидрин,Этилцеллозольв (этиловый эфир этиленгликоля),Этилацетат ,Капролактам ,Кислота азотная,К"&amp;"ислота уксусная,Кислота серная,Кобальт и его неорганические соединения,Ксилол (мета-,орто-, пара-),Метилена хлорид,Медь,Масла минеральные нефтяные,Метилметакрилат,Молибдена нерастворимые соединения,Нафталин,Никеля соли в виде гидроаэрозоля (по Ni),Никель,"&amp;" никеля оксиды, сульфиды и смеси соединений никеля (файнштейн, никелевый концентрат и агломерат, оборотная пыль очистных устройств (по Ni)
,Озон,Оксациллин,Ртуть,Селена диоксид,Сероводород,Свинец и его неорганические соединения (по свинцу),Сода кальциниро"&amp;"ванная,Сольвент-нафта,Синтетические моющие средства „Лотос”,”Ера”,”Ока” ,Скипидар,Спирт н-бутиловый, бутиловый вторичный и третичный
,Спирт этиловий,Спирт метиловий,Спирт изопропиловый,Стирол,Титан и его диоксид,Толуилендиизоцианат,Тетраэтилсвинец,Трихлор"&amp;"этилен,Табак,Толуол,Уайт-спирит (в пересчете на С),Углеводороды алифатические предельные,Углерода оксид,Углерод четыреххлористый,Фенол,Формальдегид,Фенолформальдегидные смолы по фенолу,Фенолформальдегидные смолы формальдегиду,Фтористоводородной кислоты со"&amp;"ли (по F):
 фториды натрия, калия, аммония, цинка, олова, серебра, лития и бария, криолит, гидрофторид аммония,Фтористоводородной кислоты соли (по F) фториды алюминия, магния, кальция, стронция, меди, хрома,Хлор,Хроматы, бихроматы,Хрома оксид (по Cr+3),Ци"&amp;"клогексанон,Цинка оксид,Щелочи едкие (растворы в перерасчете на NaOH),Алюминия оксид в виде аэрозоля дезинтеграции (глинозем, электрокорунд, монокорунд),Марганець в сварочном аэрозоле: (до 20% и 20-30%),Кремния диоксид аморфный в виде аэрозоля конденсации"&amp;" при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аморфный в виде аэрозоля дезинтеграции (диатомит, квар"&amp;"цевое стекло, плавленый кварц, трепел);,Кремния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слюда-сирец"&amp;", углепородная пыль и др.),Кремния диоксид кристаллический при содержании в пыле от 2 до 10 % (горючие кукерситные сланцы, медно сульфидные руды и др.),Кремния карбид (карборунд).,Зерновая,Мучная, древесная и др. (с примесью диоксида кремния меньше 2 %),Л"&amp;"убяная,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исскуств"&amp;"енный,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происхождени"&amp;"я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каолиновый,Цео"&amp;"литы (природные и искусственные)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п"&amp;"риродные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полиакрилонит"&amp;"рильных волокон")</f>
        <v>Азота диоксид,Азота оксид (IV) в перерарасчете на (NO2),Акрилонитрил,Акролеин,Алюминий и його сплавы,Аммиак,Ангидрид сернистый,Ангидрид фосфорный,Ангидрид хромовый,Ацетон,Ацетальдегид,Бензин,Бензол,Бутилацетат,Водорода хлорид,Водорода цианид,Водород мышьяковистый (арсин),Водород фосфористый (фосфин),Водород фтористий (в пересчете на F),Гексаметилендиамин,Гидразин и его производные,Дихлорэтан,Дибутилфталат,Эпихлоргидрин,Этилцеллозольв (этиловый эфир этиленгликоля),Этилацетат ,Капролактам ,Кислота азотная,Кислота уксусная,Кислота серная,Кобальт и его неорганические соединения,Ксилол (мета-,орто-, пара-),Метилена хлорид,Медь,Масла минеральные нефтяные,Метилметакрилат,Молибдена нерастворимые соединения,Нафталин,Никеля соли в виде гидроаэрозоля (по Ni),Никель, никеля оксиды, сульфиды и смеси соединений никеля (файнштейн, никелевый концентрат и агломерат, оборотная пыль очистных устройств (по Ni)
,Озон,Оксациллин,Ртуть,Селена диоксид,Сероводород,Свинец и его неорганические соединения (по свинцу),Сода кальцинированная,Сольвент-нафта,Синтетические моющие средства „Лотос”,”Ера”,”Ока” ,Скипидар,Спирт н-бутиловый, бутиловый вторичный и третичный
,Спирт этиловий,Спирт метиловий,Спирт изопропиловый,Стирол,Титан и его диоксид,Толуилендиизоцианат,Тетраэтилсвинец,Трихлорэтилен,Табак,Толуол,Уайт-спирит (в пересчете на С),Углеводороды алифатические предельные,Углерода оксид,Углерод четыреххлористый,Фенол,Формальдегид,Фенолформальдегидные смолы по фенолу,Фенолформальдегидные смолы формальдегиду,Фтористоводородной кислоты соли (по F):
 фториды натрия, калия, аммония, цинка, олова, серебра, лития и бария, криолит, гидрофторид аммония,Фтористоводородной кислоты соли (по F) фториды алюминия, магния, кальция, стронция, меди, хрома,Хлор,Хроматы, бихроматы,Хрома оксид (по Cr+3),Циклогексанон,Цинка оксид,Щелочи едкие (растворы в перерасчете на NaOH),Алюминия оксид в виде аэрозоля дезинтеграции (глинозем, электрокорунд, монокорунд),Марганець в сварочном аэрозоле: (до 20% и 20-30%),Кремния диоксид аморфный в виде аэрозоля конденсации при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аморфный в виде аэрозоля дезинтеграции (диатомит, кварцевое стекло, плавленый кварц, трепел);,Кремния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др.),Кремния карбид (карборунд).,Зерновая,Мучная,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v>
      </c>
      <c r="I26" s="17" t="str">
        <f>IFERROR(__xludf.DUMMYFUNCTION("""COMPUTED_VALUE"""),"")</f>
        <v/>
      </c>
      <c r="J26" s="17" t="str">
        <f>IFERROR(__xludf.DUMMYFUNCTION("""COMPUTED_VALUE"""),"Важкість праці,Напруженість праці")</f>
        <v>Важкість праці,Напруженість праці</v>
      </c>
      <c r="K26" s="18">
        <f>IFERROR(__xludf.DUMMYFUNCTION("""COMPUTED_VALUE"""),43391.0)</f>
        <v>43391</v>
      </c>
      <c r="L26" s="18" t="str">
        <f>IFERROR(__xludf.DUMMYFUNCTION("""COMPUTED_VALUE"""),"")</f>
        <v/>
      </c>
    </row>
    <row r="27">
      <c r="A27" s="11">
        <f t="shared" si="1"/>
        <v>24</v>
      </c>
      <c r="B27" s="16" t="str">
        <f>IFERROR(__xludf.DUMMYFUNCTION("""COMPUTED_VALUE"""),"ТОВ ""Науково-дослідний інститут профілактичної медицини""")</f>
        <v>ТОВ "Науково-дослідний інститут профілактичної медицини"</v>
      </c>
      <c r="C27" s="16" t="str">
        <f>IFERROR(__xludf.DUMMYFUNCTION("""COMPUTED_VALUE"""),"Харківська")</f>
        <v>Харківська</v>
      </c>
      <c r="D27" s="16" t="str">
        <f>IFERROR(__xludf.DUMMYFUNCTION("""COMPUTED_VALUE"""),"Харків")</f>
        <v>Харків</v>
      </c>
      <c r="E27" s="16" t="str">
        <f>IFERROR(__xludf.DUMMYFUNCTION("""COMPUTED_VALUE"""),"вул. Гуданова, 18")</f>
        <v>вул. Гуданова, 18</v>
      </c>
      <c r="F27" s="17" t="str">
        <f>IFERROR(__xludf.DUMMYFUNCTION("""COMPUTED_VALUE"""),"057-704-32-52")</f>
        <v>057-704-32-52</v>
      </c>
      <c r="G27" s="17" t="str">
        <f>IFERROR(__xludf.DUMMYFUNCTION("""COMPUTED_VALUE"""),"Вібрація загальна та локальна,Шум,Інфразвук,Неіонізуюче випромінювання,Іонізуюче випромінювання,Мікроклімат,Освітлення,Атмосферний тиск")</f>
        <v>Вібрація загальна та локальна,Шум,Інфразвук,Неіонізуюче випромінювання,Іонізуюче випромінювання,Мікроклімат,Освітлення,Атмосферний тиск</v>
      </c>
      <c r="H27" s="17" t="str">
        <f>IFERROR(__xludf.DUMMYFUNCTION("""COMPUTED_VALUE"""),"Азота диоксид,Азота оксид (IV) в перерарасчете на (NO2),Акрилонитрил,Акролеин,Алюминий и його сплавы,Алюминия  оксид в смеси со сплавом никеля до 15% (электрокорунд),Аминопласты (пресс-порошки),Аммиак,Аммония хлорид,Ангидрид сернистый,Ангидрид фосфорный,А"&amp;"нгидрид хромовый,Анилин,Ацетон,Ацетальдегид,Бензальдегид,Бензин,Бензол,Бром,Бромбензол,1,3-Бутадиен (дивинил),Бутан,Бутилацетат,Бутилметакрилат,Бутилакрилат,Ванадий и его соединения,Винилацетат,Винила хлорид,Водорода хлорид,Водорода цианид,Водород мышьяко"&amp;"вистый (арсин),Водород фосфористый (фосфин),Водород фтористий (в пересчете на F),Вольфрам, вольфрама карбид и силицид,Вольфрама сульфид и дисульфид,Гексаметилендиамин,Гексан,Гексаметилендиизоцианат,Гидразин и его производные,Диметилтерефталат,Диметилформа"&amp;"мид,Дифенилол-пропан,Дихлорэтан,Диэтиламин,Диэтиловый эфир,4,4-дифенилметандиизоцианат,Зола горючих сланцев,Электрокорунд, электрокорунд хромистый,Эпихлоргидрин,Этилен,Этилцеллозольв (этиловый эфир этиленгликоля),Этилендиамин,Этиленгликоль,Этилбензол,Этил"&amp;"ацетат ,Этилена оксид,Этилмеркаптан,Кадмий и его неорганические соединения,Камфора,Капролактам ,Капрон,Карбамид (мочевина),Кислота муравьиная,Кислота уксусная,Кислота терефталевая,Кислота трихлоруксусная,Керамика,Керосин,Кислота серная,Кобальт и его неорг"&amp;"анические соединения,Кобальта оксид,Лавсан,Ксилол (мета-,орто-, пара-),Медь,Марганца оксиды (в пересчете на MnO2) аэрозоль дезинтеграции,Марганца оксиды (в пересчете на MnO2) аэрозоль конденсации,Масла минеральные нефтяные,Метилметакрилат,Метилакрилат,Мет"&amp;"илмеркаптан,Молибден,Натрия гидрокарбонат,Натрия хлорид,Нафталин,Нитрон,Никеля соли в виде гидроаэрозоля (по Ni),Никель, никеля оксиды, сульфиды и смеси соединений никеля (файнштейн, никелевый концентрат и агломерат, оборотная пыль очистных устройств (по "&amp;"Ni)
,Нефрас С 150/200 (в пересчете на С),Озон,Пиридин,Пентан,Пропилен,Пропиленгликоль,Полиамидные пресс-порошки ПМ-69, ПАИ-1,Пропилацетат,Ртуть,Ртути неорганические соединения (по ртути),Сера элементарная,Сероводород,Свинец и его неорганические соединения"&amp;" (по свинцу),Сода кальцинированная,Сольвент-нафта,Синтетические моющие средства „Лотос”,”Ера”,”Ока” ,Скипидар,Спирт бензиловый,Спирт н-бутиловый, бутиловый вторичный и третичный
,Спирт этиловий,Спирт метиловий,Спирт пропиловый,Спирт изобутиловый,Спирт изо"&amp;"пропиловый,Стирол,Таллия бромид, иодид (по таллию),Титан и его диоксид,Тетрабромэтан,Тетрахлорэтан,Тетрахлорэтилен,Тетраэтилсвинец,Триэтиламин,Трихлорэтилен,Толуол,Уайт-спирит (в пересчете на С),Углеводороды алифатические предельные,Углерода оксид,Углерод"&amp;" четыреххлористый,Фенол,Формальдегид,Фосфор пятихлористый,Фосфора хлороксид,Фенолформальдегидные смолы по фенолу,Фенолформальдегидные смолы формальдегиду,Фенопласты,Фтористоводородной кислоты соли (по F):
 фториды натрия, калия, аммония, цинка, олова, сер"&amp;"ебра, лития и бария, криолит, гидрофторид аммония,Фтористоводородной кислоты соли (по F) фториды алюминия, магния, кальция, стронция, меди, хрома,Фторопласт-4,Хлор,Хроматы, бихроматы,Хрома оксид (по Cr+3),Цирконий,Циклогексанон,Цинка оксид,Щелочи едкие (р"&amp;"астворы в перерасчете на NaOH),Алюминия оксид в виде аэрозоля дезинтеграции (глинозем, электрокорунд, монокорунд),Алюминия оксид с примесью свободного диоксида кремния до 15% и оксида железа до 10% ( в виде аерозоля конденсации),Алюминия оксид с примесью "&amp;"диоксида кремния ( в виде аерозоля конденсации),Кобальта оксид ,Марганець в сварочном аэрозоле: (до 20% и 20-30%),Доломит,Железный агломерат,Железорудные окатыши,Известняк,Корунд белый,Кальция глюконат,Кальция оксид,Кремния диоксид аморфный в виде аэрозол"&amp;"я конденсации при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аморфный в виде аэрозоля дезинтеграции (д"&amp;"иатомит, кварцевое стекло, плавленый кварц, трепел);,Кремния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шамот"&amp;",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др.),Кремния карбид (карборунд).,Поливинилхлорид,Полимеры и сополимеры на основе акриловых и ме"&amp;"такриловых мономеров,Полипропилен,Поликарбонат,Полиэтилен,Полиформальдегид,Чугун в смесе с електрокорундом до 20%,Шамотнографитовые огнеупоры,Зерновая,Мучная, древесная и др. (с примесью диоксида кремния меньше 2 %),Лубяная, хлопчато-бумажная, хлопковая, "&amp;"льняная,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"&amp;"при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тальк,"&amp;"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,Сопо"&amp;"лимеры акрилонитрила и 2-метил-5-винилпиридина (волокно ВИОН-АН-1),Стеклопластик на основе полиэфирной смолы
,Табак,Коксы каменноугольный, пековый, нефтяной, сланцевый,Антрацит с содержанием свободного диоксида кремния до 5 %,Другие ископаемые угли и угле"&amp;"родные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ц"&amp;"еллюлозных волокон,Углеродные волокнистые материалы на основе гидрат полиакрилонитрильных волокон")</f>
        <v>Азота диоксид,Азота оксид (IV) в перерарасчете на (NO2),Акрилонитрил,Акролеин,Алюминий и його сплавы,Алюминия  оксид в смеси со сплавом никеля до 15% (электрокорунд),Аминопласты (пресс-порошки),Аммиак,Аммония хлорид,Ангидрид сернистый,Ангидрид фосфорный,Ангидрид хромовый,Анилин,Ацетон,Ацетальдегид,Бензальдегид,Бензин,Бензол,Бром,Бромбензол,1,3-Бутадиен (дивинил),Бутан,Бутилацетат,Бутилметакрилат,Бутилакрилат,Ванадий и его соединения,Винилацетат,Винила хлорид,Водорода хлорид,Водорода цианид,Водород мышьяковистый (арсин),Водород фосфористый (фосфин),Водород фтористий (в пересчете на F),Вольфрам, вольфрама карбид и силицид,Вольфрама сульфид и дисульфид,Гексаметилендиамин,Гексан,Гексаметилендиизоцианат,Гидразин и его производные,Диметилтерефталат,Диметилформамид,Дифенилол-пропан,Дихлорэтан,Диэтиламин,Диэтиловый эфир,4,4-дифенилметандиизоцианат,Зола горючих сланцев,Электрокорунд, электрокорунд хромистый,Эпихлоргидрин,Этилен,Этилцеллозольв (этиловый эфир этиленгликоля),Этилендиамин,Этиленгликоль,Этилбензол,Этилацетат ,Этилена оксид,Этилмеркаптан,Кадмий и его неорганические соединения,Камфора,Капролактам ,Капрон,Карбамид (мочевина),Кислота муравьиная,Кислота уксусная,Кислота терефталевая,Кислота трихлоруксусная,Керамика,Керосин,Кислота серная,Кобальт и его неорганические соединения,Кобальта оксид,Лавсан,Ксилол (мета-,орто-, пара-),Медь,Марганца оксиды (в пересчете на MnO2) аэрозоль дезинтеграции,Марганца оксиды (в пересчете на MnO2) аэрозоль конденсации,Масла минеральные нефтяные,Метилметакрилат,Метилакрилат,Метилмеркаптан,Молибден,Натрия гидрокарбонат,Натрия хлорид,Нафталин,Нитрон,Никеля соли в виде гидроаэрозоля (по Ni),Никель, никеля оксиды, сульфиды и смеси соединений никеля (файнштейн, никелевый концентрат и агломерат, оборотная пыль очистных устройств (по Ni)
,Нефрас С 150/200 (в пересчете на С),Озон,Пиридин,Пентан,Пропилен,Пропиленгликоль,Полиамидные пресс-порошки ПМ-69, ПАИ-1,Пропилацетат,Ртуть,Ртути неорганические соединения (по ртути),Сера элементарная,Сероводород,Свинец и его неорганические соединения (по свинцу),Сода кальцинированная,Сольвент-нафта,Синтетические моющие средства „Лотос”,”Ера”,”Ока” ,Скипидар,Спирт бензиловый,Спирт н-бутиловый, бутиловый вторичный и третичный
,Спирт этиловий,Спирт метиловий,Спирт пропиловый,Спирт изобутиловый,Спирт изопропиловый,Стирол,Таллия бромид, иодид (по таллию),Титан и его диоксид,Тетрабромэтан,Тетрахлорэтан,Тетрахлорэтилен,Тетраэтилсвинец,Триэтиламин,Трихлорэтилен,Толуол,Уайт-спирит (в пересчете на С),Углеводороды алифатические предельные,Углерода оксид,Углерод четыреххлористый,Фенол,Формальдегид,Фосфор пятихлористый,Фосфора хлороксид,Фенолформальдегидные смолы по фенолу,Фенолформальдегидные смолы формальдегиду,Фенопласты,Фтористоводородной кислоты соли (по F):
 фториды натрия, калия, аммония, цинка, олова, серебра, лития и бария, криолит, гидрофторид аммония,Фтористоводородной кислоты соли (по F) фториды алюминия, магния, кальция, стронция, меди, хрома,Фторопласт-4,Хлор,Хроматы, бихроматы,Хрома оксид (по Cr+3),Цирконий,Циклогексанон,Цинка оксид,Щелочи едкие (растворы в перерасчете на NaOH),Алюминия оксид в виде аэрозоля дезинтеграции (глинозем, электрокорунд, монокорунд),Алюминия оксид с примесью свободного диоксида кремния до 15% и оксида железа до 10% ( в виде аерозоля конденсации),Алюминия оксид с примесью диоксида кремния ( в виде аерозоля конденсации),Кобальта оксид ,Марганець в сварочном аэрозоле: (до 20% и 20-30%),Доломит,Железный агломерат,Железорудные окатыши,Известняк,Корунд белый,Кальция глюконат,Кальция оксид,Кремния диоксид аморфный в виде аэрозоля конденсации при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аморфный в виде аэрозоля дезинтеграции (диатомит, кварцевое стекло, плавленый кварц, трепел);,Кремния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др.),Кремния карбид (карборунд).,Поливинилхлорид,Полимеры и сополимеры на основе акриловых и метакриловых мономеров,Полипропилен,Поликарбонат,Полиэтилен,Полиформальдегид,Чугун в смесе с електрокорундом до 20%,Шамотнографитовые огнеупоры,Зерновая,Мучная,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,Сополимеры акрилонитрила и 2-метил-5-винилпиридина (волокно ВИОН-АН-1),Стеклопластик на основе полиэфирной смолы
,Табак,Коксы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v>
      </c>
      <c r="I27" s="17" t="str">
        <f>IFERROR(__xludf.DUMMYFUNCTION("""COMPUTED_VALUE"""),"")</f>
        <v/>
      </c>
      <c r="J27" s="17" t="str">
        <f>IFERROR(__xludf.DUMMYFUNCTION("""COMPUTED_VALUE"""),"Важкість праці,Напруженість праці")</f>
        <v>Важкість праці,Напруженість праці</v>
      </c>
      <c r="K27" s="18">
        <f>IFERROR(__xludf.DUMMYFUNCTION("""COMPUTED_VALUE"""),43399.0)</f>
        <v>43399</v>
      </c>
      <c r="L27" s="18" t="str">
        <f>IFERROR(__xludf.DUMMYFUNCTION("""COMPUTED_VALUE"""),"")</f>
        <v/>
      </c>
    </row>
    <row r="28">
      <c r="A28" s="11">
        <f t="shared" si="1"/>
        <v>25</v>
      </c>
      <c r="B28" s="16" t="str">
        <f>IFERROR(__xludf.DUMMYFUNCTION("""COMPUTED_VALUE"""),"філія УкрНДІгаз АТ ""Укргазвидобування""")</f>
        <v>філія УкрНДІгаз АТ "Укргазвидобування"</v>
      </c>
      <c r="C28" s="16" t="str">
        <f>IFERROR(__xludf.DUMMYFUNCTION("""COMPUTED_VALUE"""),"Харківська")</f>
        <v>Харківська</v>
      </c>
      <c r="D28" s="16" t="str">
        <f>IFERROR(__xludf.DUMMYFUNCTION("""COMPUTED_VALUE"""),"Харків")</f>
        <v>Харків</v>
      </c>
      <c r="E28" s="16" t="str">
        <f>IFERROR(__xludf.DUMMYFUNCTION("""COMPUTED_VALUE"""),"вул. Гімназійна набережна, 20")</f>
        <v>вул. Гімназійна набережна, 20</v>
      </c>
      <c r="F28" s="17" t="str">
        <f>IFERROR(__xludf.DUMMYFUNCTION("""COMPUTED_VALUE"""),"057-730-46-63")</f>
        <v>057-730-46-63</v>
      </c>
      <c r="G28" s="17" t="str">
        <f>IFERROR(__xludf.DUMMYFUNCTION("""COMPUTED_VALUE"""),"Вібрація загальна та локальна,Шум,Інфразвук,Неіонізуюче випромінювання,Іонізуюче випромінювання,Мікроклімат,Освітлення,Атмосферний тиск")</f>
        <v>Вібрація загальна та локальна,Шум,Інфразвук,Неіонізуюче випромінювання,Іонізуюче випромінювання,Мікроклімат,Освітлення,Атмосферний тиск</v>
      </c>
      <c r="H28" s="17" t="str">
        <f>IFERROR(__xludf.DUMMYFUNCTION("""COMPUTED_VALUE"""),"Азота диоксид,Акролеин,Алюминия  оксид в смеси со сплавом никеля до 15% (электрокорунд),Аммиак,Ангидрид сернистый,Ангидрид хромовый,Бензин,Бензол,Водорода хлорид,Водород фтористий (в пересчете на F),Этилмеркаптан,Кислота уксусная,Кислота серная,Ксилол (ме"&amp;"та-,орто-, пара-),Марганца оксиды (в пересчете на MnO2) аэрозоль дезинтеграции,Масла минеральные нефтяные,Озон,Ртуть,Сероводород,Свинец и его неорганические соединения (по свинцу),Синтетические моющие средства „Лотос”,”Ера”,”Ока” ,Спирт метиловий,Толуол,У"&amp;"глеводороды алифатические предельные,Углерода оксид,Формальдегид,Хлор,Хрома оксид (по Cr+3),Циклогексан,Щелочи едкие (растворы в перерасчете на NaOH),Корунд белый,Кремния диоксид кристаллический (кварц, кристобелит, тридимит) при содержании в пыли больше "&amp;"70%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сул"&amp;"ьфидные руды и др.),Кремния карбид (карборунд).,Зерновая,Мучная,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хлопчато-бу"&amp;"мажная, хлопковая, льняная, шерстяная, пуховая и др. (с примесью диоксида кремния от 2 до 10 %),Искусственные минеральные волокна силикатные и алюмосиликатные стеклообразной структуры,Цемент, оливин, апатит, форстерит, глина, шамот каолиновый,Антрацит с с"&amp;"одержанием свободного диоксида кремния до 5 %,Другие ископаемые угли и углеродные пыли с содержанием свободного диоксида кремния до 5%, от 5% до 10%")</f>
        <v>Азота диоксид,Акролеин,Алюминия  оксид в смеси со сплавом никеля до 15% (электрокорунд),Аммиак,Ангидрид сернистый,Ангидрид хромовый,Бензин,Бензол,Водорода хлорид,Водород фтористий (в пересчете на F),Этилмеркаптан,Кислота уксусная,Кислота серная,Ксилол (мета-,орто-, пара-),Марганца оксиды (в пересчете на MnO2) аэрозоль дезинтеграции,Масла минеральные нефтяные,Озон,Ртуть,Сероводород,Свинец и его неорганические соединения (по свинцу),Синтетические моющие средства „Лотос”,”Ера”,”Ока” ,Спирт метиловий,Толуол,Углеводороды алифатические предельные,Углерода оксид,Формальдегид,Хлор,Хрома оксид (по Cr+3),Циклогексан,Щелочи едкие (растворы в перерасчете на NaOH),Корунд белый,Кремния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др.),Кремния карбид (карборунд).,Зерновая,Мучная,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10 %),Искусственные минеральные волокна силикатные и алюмосиликатные стеклообразной структуры,Цемент, оливин, апатит, форстерит, глина, шамот каолиновый,Антрацит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v>
      </c>
      <c r="I28" s="17" t="str">
        <f>IFERROR(__xludf.DUMMYFUNCTION("""COMPUTED_VALUE"""),"")</f>
        <v/>
      </c>
      <c r="J28" s="17" t="str">
        <f>IFERROR(__xludf.DUMMYFUNCTION("""COMPUTED_VALUE"""),"Важкість праці,Напруженість праці")</f>
        <v>Важкість праці,Напруженість праці</v>
      </c>
      <c r="K28" s="18">
        <f>IFERROR(__xludf.DUMMYFUNCTION("""COMPUTED_VALUE"""),43395.0)</f>
        <v>43395</v>
      </c>
      <c r="L28" s="18" t="str">
        <f>IFERROR(__xludf.DUMMYFUNCTION("""COMPUTED_VALUE"""),"")</f>
        <v/>
      </c>
    </row>
    <row r="29">
      <c r="A29" s="11">
        <f t="shared" si="1"/>
        <v>26</v>
      </c>
      <c r="B29" s="16" t="str">
        <f>IFERROR(__xludf.DUMMYFUNCTION("""COMPUTED_VALUE"""),"Чернігівський міський відділ ДУ ""Чернігівський обласний лабораторний центр МОЗ України""")</f>
        <v>Чернігівський міський відділ ДУ "Чернігівський обласний лабораторний центр МОЗ України"</v>
      </c>
      <c r="C29" s="16" t="str">
        <f>IFERROR(__xludf.DUMMYFUNCTION("""COMPUTED_VALUE"""),"Чернігівська")</f>
        <v>Чернігівська</v>
      </c>
      <c r="D29" s="16" t="str">
        <f>IFERROR(__xludf.DUMMYFUNCTION("""COMPUTED_VALUE"""),"Чернігів")</f>
        <v>Чернігів</v>
      </c>
      <c r="E29" s="16" t="str">
        <f>IFERROR(__xludf.DUMMYFUNCTION("""COMPUTED_VALUE"""),"вул. Кирпоноса, 30")</f>
        <v>вул. Кирпоноса, 30</v>
      </c>
      <c r="F29" s="17" t="str">
        <f>IFERROR(__xludf.DUMMYFUNCTION("""COMPUTED_VALUE"""),"0462-77-47-53       0462-67-52-47")</f>
        <v>0462-77-47-53       0462-67-52-47</v>
      </c>
      <c r="G29" s="17" t="str">
        <f>IFERROR(__xludf.DUMMYFUNCTION("""COMPUTED_VALUE"""),"Вібрація загальна та локальна,Шум,Неіонізуюче випромінювання,Мікроклімат,Освітлення")</f>
        <v>Вібрація загальна та локальна,Шум,Неіонізуюче випромінювання,Мікроклімат,Освітлення</v>
      </c>
      <c r="H29" s="17" t="str">
        <f>IFERROR(__xludf.DUMMYFUNCTION("""COMPUTED_VALUE"""),"Азота диоксид,Аммиак,Ангидрид сернистый,Ангидрид хромовый,Ацетон,Бензол,Водорода хлорид,Водород фтористий (в пересчете на F),Электрокорунд, электрокорунд хромистый,Этилацетат ,Кислота уксусная,Кислота серная,Ксилол (мета-,орто-, пара-),Медь,Марганца оксид"&amp;"ы (в пересчете на MnO2) аэрозоль дезинтеграции,Марганца оксиды (в пересчете на MnO2) аэрозоль конденсации,Масла минеральные нефтяные,Никеля соли в виде гидроаэрозоля (по Ni),Никель, никеля оксиды, сульфиды и смеси соединений никеля (файнштейн, никелевый к"&amp;"онцентрат и агломерат, оборотная пыль очистных устройств (по Ni)
,Озон,Ртуть,Сероводород,Свинец и его неорганические соединения (по свинцу),Титан и его диоксид,Толуол,Углерода оксид,Фенол,Формальдегид,Фтористоводородной кислоты соли (по F):
 фториды натри"&amp;"я, калия, аммония, цинка, олова, серебра, лития и бария, криолит, гидрофторид аммония,Хлор,Хроматы, бихроматы,Хрома оксид (по Cr+3),Цинка оксид,Щелочи едкие (растворы в перерасчете на NaOH),Алюминий и его сплавы (в перерасчете на алюминий),Алюминия оксид "&amp;"с примесью свободного диоксида кремния до 15% и оксида железа до 10% ( в виде аерозоля конденсации),Алюминия оксид с примесью диоксида кремния ( в виде аерозоля конденсации),Марганець в сварочном аэрозоле: (до 20% и 20-30%),Поливинилхлорид,Полимеры и сопо"&amp;"лимеры на основе акриловых и метакриловых мономеров,Зерновая,Мучная,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хлопчат"&amp;"о-бумажная, хлопковая, льняная, шерстяная, пуховая и др. (с примесью диоксида кремния от 2 до 10 %),Силикатсодержащие пыли, силикаты, алюмосиликаты при содержании асбеста менее 10%; асбестоцемент,Силикатсодержащие пыли, силикаты, алюмосиликаты при содержа"&amp;"нииасбеста от 10 до 20%
,Силикатсодержащие пыли, силикаты, алюмосиликаты асбесты природные (хризолит, актофиллит, эктинолит, тремолит, магнезиарфведсонит) и синтетическиеасбесты, а такжесмешанныеасбестопородныепыли при содержании в них асбестаболее 20%;
"&amp;",Асбестоцемент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волок"&amp;"на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сланцевый,Антрацит с содержанием свободного диоксида кремния"&amp;" до 5 %,Алмазы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гидр"&amp;"ат полиакрилонитрильных волокон")</f>
        <v>Азота диоксид,Аммиак,Ангидрид сернистый,Ангидрид хромовый,Ацетон,Бензол,Водорода хлорид,Водород фтористий (в пересчете на F),Электрокорунд, электрокорунд хромистый,Этилацетат ,Кислота уксусная,Кислота серная,Ксилол (мета-,орто-, пара-),Медь,Марганца оксиды (в пересчете на MnO2) аэрозоль дезинтеграции,Марганца оксиды (в пересчете на MnO2) аэрозоль конденсации,Масла минеральные нефтяные,Никеля соли в виде гидроаэрозоля (по Ni),Никель, никеля оксиды, сульфиды и смеси соединений никеля (файнштейн, никелевый концентрат и агломерат, оборотная пыль очистных устройств (по Ni)
,Озон,Ртуть,Сероводород,Свинец и его неорганические соединения (по свинцу),Титан и его диоксид,Толуол,Углерода оксид,Фенол,Формальдегид,Фтористоводородной кислоты соли (по F):
 фториды натрия, калия, аммония, цинка, олова, серебра, лития и бария, криолит, гидрофторид аммония,Хлор,Хроматы, бихроматы,Хрома оксид (по Cr+3),Цинка оксид,Щелочи едкие (растворы в перерасчете на NaOH),Алюминий и его сплавы (в перерасчете на алюминий),Алюминия оксид с примесью свободного диоксида кремния до 15% и оксида железа до 10% ( в виде аерозоля конденсации),Алюминия оксид с примесью диоксида кремния ( в виде аерозоля конденсации),Марганець в сварочном аэрозоле: (до 20% и 20-30%),Поливинилхлорид,Полимеры и сополимеры на основе акриловых и метакриловых мономеров,Зерновая,Мучная,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10 %),Силикатсодержащие пыли, силикаты, алюмосиликаты при содержании асбеста менее 10%; асбестоцемент,Силикатсодержащие пыли, силикаты, алюмосиликаты при содержанииасбеста от 10 до 20%
,Силикатсодержащие пыли, силикаты, алюмосиликаты асбесты природные (хризолит, актофиллит, эктинолит, тремолит, магнезиарфведсонит) и синтетическиеасбесты, а такжесмешанныеасбестопородныепыли при содержании в них асбестаболее 20%;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сланцевый,Антрацит с содержанием свободного диоксида кремния до 5 %,Алмазы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v>
      </c>
      <c r="I29" s="17" t="str">
        <f>IFERROR(__xludf.DUMMYFUNCTION("""COMPUTED_VALUE"""),"")</f>
        <v/>
      </c>
      <c r="J29" s="17" t="str">
        <f>IFERROR(__xludf.DUMMYFUNCTION("""COMPUTED_VALUE"""),"Важкість праці,Напруженість праці")</f>
        <v>Важкість праці,Напруженість праці</v>
      </c>
      <c r="K29" s="18">
        <f>IFERROR(__xludf.DUMMYFUNCTION("""COMPUTED_VALUE"""),43399.0)</f>
        <v>43399</v>
      </c>
      <c r="L29" s="18" t="str">
        <f>IFERROR(__xludf.DUMMYFUNCTION("""COMPUTED_VALUE"""),"")</f>
        <v/>
      </c>
    </row>
    <row r="30">
      <c r="A30" s="11">
        <f t="shared" si="1"/>
        <v>27</v>
      </c>
      <c r="B30" s="16" t="str">
        <f>IFERROR(__xludf.DUMMYFUNCTION("""COMPUTED_VALUE"""),"Науковий центр санітарно-гігієнічних та фізіолого-ергономічних досліджень ДП ""Науково-дослідний інститут медико-екологічних проблем Донбасу та вугільної промисловості МОЗ України""")</f>
        <v>Науковий центр санітарно-гігієнічних та фізіолого-ергономічних досліджень ДП "Науково-дослідний інститут медико-екологічних проблем Донбасу та вугільної промисловості МОЗ України"</v>
      </c>
      <c r="C30" s="16" t="str">
        <f>IFERROR(__xludf.DUMMYFUNCTION("""COMPUTED_VALUE"""),"Донецька")</f>
        <v>Донецька</v>
      </c>
      <c r="D30" s="16" t="str">
        <f>IFERROR(__xludf.DUMMYFUNCTION("""COMPUTED_VALUE"""),"с.м.т. Новотроїцьке")</f>
        <v>с.м.т. Новотроїцьке</v>
      </c>
      <c r="E30" s="16" t="str">
        <f>IFERROR(__xludf.DUMMYFUNCTION("""COMPUTED_VALUE"""),"вул. Молодіжна, 11")</f>
        <v>вул. Молодіжна, 11</v>
      </c>
      <c r="F30" s="17" t="str">
        <f>IFERROR(__xludf.DUMMYFUNCTION("""COMPUTED_VALUE"""),"094-441-84-69")</f>
        <v>094-441-84-69</v>
      </c>
      <c r="G30" s="17" t="str">
        <f>IFERROR(__xludf.DUMMYFUNCTION("""COMPUTED_VALUE"""),"Вібрація загальна та локальна,Шум,Неіонізуюче випромінювання,Мікроклімат,Освітлення,Атмосферний тиск")</f>
        <v>Вібрація загальна та локальна,Шум,Неіонізуюче випромінювання,Мікроклімат,Освітлення,Атмосферний тиск</v>
      </c>
      <c r="H30" s="17" t="str">
        <f>IFERROR(__xludf.DUMMYFUNCTION("""COMPUTED_VALUE"""),"Азота диоксид,Азота оксид (IV) в перерарасчете на (NO2),Акролеин,Алюминий и його сплавы,Алюминия  оксид в смеси со сплавом никеля до 15% (электрокорунд),Алюминия сульфат,Аминопласты (пресс-порошки),Аммиак,Ангидрид сернистый,Ангидрид фосфорный,Ацетон,Бензо"&amp;"л,Водорода хлорид,Водорода цианид,Водород фтористий (в пересчете на F),Возгоны каменноугольных смол и пеков при содержании в них бензапирена,Зола горючих сланцев,Электрокорунд, электрокорунд хромистый,Эпихлоргидрин,Кальция гидрооксид,Керамика,Кислота серн"&amp;"ая,Ксилол (мета-,орто-, пара-),Медь,Марганца оксиды (в пересчете на MnO2) аэрозоль дезинтеграции,Марганца оксиды (в пересчете на MnO2) аэрозоль конденсации,Масла минеральные нефтяные,Натрия хлорид,Нафталин,Озон,Пиридин,Ртуть,Сероводород,Свинец и его неорг"&amp;"анические соединения (по свинцу),Синтетические моющие средства „Лотос”,”Ера”,”Ока” ,Спирт метиловий,Стирол,Трихлорэтилен,Толуол,Углерода оксид,Фенол,Формальдегид,Фтористоводородной кислоты соли (по F):
 фториды натрия, калия, аммония, цинка, олова, серебр"&amp;"а, лития и бария, криолит, гидрофторид аммония,Фтористоводородной кислоты соли (по F) фториды алюминия, магния, кальция, стронция, меди, хрома,Хлор,Хроматы, бихроматы,Хрома оксид (по Cr+3),Цинка оксид,Щелочи едкие (растворы в перерасчете на NaOH),Алюминия"&amp;" оксид с примесью диоксида кремния ( в виде аерозоля конденсации),Марганець в сварочном аэрозоле: (до 20% и 20-30%),Алюминия оксид с примесью свободного диоксида кремния до 15% и оксида железа до 10% ( в виде аэрозоля конденсации),Алюминия оксид в виде аэ"&amp;"розоля дезинтеграции (глинозем, электрокорунд, монокорунд),Доломит,Железный агломерат,Железорудные окатыши,Известняк,Кальция оксид,Кремния диоксид аморфный в виде аэрозоля конденсации при содержании: больше 60 %,Кремния диоксид аморфный в виде аэрозоля ко"&amp;"нденсации при содержании 60-10 %,Кремния диоксид аморфный в виде аэрозоля конденсации при содержании меньше 10 %,Кремния диоксид аморфный в виде аэрозоля дезинтеграции (диатомит, кварцевое стекло, плавленый кварц, трепел);,Кремния диоксид кристаллический "&amp;"(кварц,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содержани"&amp;"и в пыле от 2 до 10 % (горючие кукерситные сланцы, медно сульфидные руды и др.),Кремния карбид (карборунд).,Пыль доменного шлака,Зерновая,Мучная, древесная и др. (с примесью диоксида кремния меньше 2 %),Лубяная, хлопчато-бумажная, хлопковая, льняная, шерс"&amp;"тяная,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10 %),Искусственные минеральные волокна силикатные и алюмосиликатные стеклообразной "&amp;"структуры,Цемент, оливин, апатит, форстерит, глина, шамот каолиновый,Цеолиты (природные и искусственные)
,Коксы каменноугольный, пековый, нефтяной, сланцевый,Антрацит с содержанием свободного диоксида кремния до 5 %,Другие ископаемые угли и углеродные пыл"&amp;"и с содержанием свободного диоксида кремния до 5%, от 5% до 10%,Сажи черные промышленные с содержанием бензапирена не более 35 мг на 1 кг")</f>
        <v>Азота диоксид,Азота оксид (IV) в перерарасчете на (NO2),Акролеин,Алюминий и його сплавы,Алюминия  оксид в смеси со сплавом никеля до 15% (электрокорунд),Алюминия сульфат,Аминопласты (пресс-порошки),Аммиак,Ангидрид сернистый,Ангидрид фосфорный,Ацетон,Бензол,Водорода хлорид,Водорода цианид,Водород фтористий (в пересчете на F),Возгоны каменноугольных смол и пеков при содержании в них бензапирена,Зола горючих сланцев,Электрокорунд, электрокорунд хромистый,Эпихлоргидрин,Кальция гидрооксид,Керамика,Кислота серная,Ксилол (мета-,орто-, пара-),Медь,Марганца оксиды (в пересчете на MnO2) аэрозоль дезинтеграции,Марганца оксиды (в пересчете на MnO2) аэрозоль конденсации,Масла минеральные нефтяные,Натрия хлорид,Нафталин,Озон,Пиридин,Ртуть,Сероводород,Свинец и его неорганические соединения (по свинцу),Синтетические моющие средства „Лотос”,”Ера”,”Ока” ,Спирт метиловий,Стирол,Трихлорэтилен,Толуол,Углерода оксид,Фенол,Формальдегид,Фтористоводородной кислоты соли (по F):
 фториды натрия, калия, аммония, цинка, олова, серебра, лития и бария, криолит, гидрофторид аммония,Фтористоводородной кислоты соли (по F) фториды алюминия, магния, кальция, стронция, меди, хрома,Хлор,Хроматы, бихроматы,Хрома оксид (по Cr+3),Цинка оксид,Щелочи едкие (растворы в перерасчете на NaOH),Алюминия оксид с примесью диоксида кремния ( в виде аерозоля конденсации),Марганець в сварочном аэрозоле: (до 20% и 20-30%),Алюминия оксид с примесью свободного диоксида кремния до 15% и оксида железа до 10% ( в виде аэрозоля конденсации),Алюминия оксид в виде аэрозоля дезинтеграции (глинозем, электрокорунд, монокорунд),Доломит,Железный агломерат,Железорудные окатыши,Известняк,Кальция оксид,Кремния диоксид аморфный в виде аэрозоля конденсации при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аморфный в виде аэрозоля дезинтеграции (диатомит, кварцевое стекло, плавленый кварц, трепел);,Кремния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др.),Кремния карбид (карборунд).,Пыль доменного шлака,Зерновая,Мучная,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10%,Сажи черные промышленные с содержанием бензапирена не более 35 мг на 1 кг</v>
      </c>
      <c r="I30" s="17" t="str">
        <f>IFERROR(__xludf.DUMMYFUNCTION("""COMPUTED_VALUE"""),"")</f>
        <v/>
      </c>
      <c r="J30" s="17" t="str">
        <f>IFERROR(__xludf.DUMMYFUNCTION("""COMPUTED_VALUE"""),"Важкість праці,Напруженість праці")</f>
        <v>Важкість праці,Напруженість праці</v>
      </c>
      <c r="K30" s="18">
        <f>IFERROR(__xludf.DUMMYFUNCTION("""COMPUTED_VALUE"""),43402.0)</f>
        <v>43402</v>
      </c>
      <c r="L30" s="18" t="str">
        <f>IFERROR(__xludf.DUMMYFUNCTION("""COMPUTED_VALUE"""),"")</f>
        <v/>
      </c>
    </row>
    <row r="31">
      <c r="A31" s="11">
        <f t="shared" si="1"/>
        <v>28</v>
      </c>
      <c r="B31" s="16" t="str">
        <f>IFERROR(__xludf.DUMMYFUNCTION("""COMPUTED_VALUE"""),"Корюківський міськрайонний відділ ДУ ""Чернігівський обласний лабораторний центр МОЗ України""")</f>
        <v>Корюківський міськрайонний відділ ДУ "Чернігівський обласний лабораторний центр МОЗ України"</v>
      </c>
      <c r="C31" s="16" t="str">
        <f>IFERROR(__xludf.DUMMYFUNCTION("""COMPUTED_VALUE"""),"Чернігівська")</f>
        <v>Чернігівська</v>
      </c>
      <c r="D31" s="16" t="str">
        <f>IFERROR(__xludf.DUMMYFUNCTION("""COMPUTED_VALUE"""),"Корюківка")</f>
        <v>Корюківка</v>
      </c>
      <c r="E31" s="16" t="str">
        <f>IFERROR(__xludf.DUMMYFUNCTION("""COMPUTED_VALUE"""),"вул. Передзаводська, 8")</f>
        <v>вул. Передзаводська, 8</v>
      </c>
      <c r="F31" s="17" t="str">
        <f>IFERROR(__xludf.DUMMYFUNCTION("""COMPUTED_VALUE"""),"04657-3-42-12")</f>
        <v>04657-3-42-12</v>
      </c>
      <c r="G31" s="17" t="str">
        <f>IFERROR(__xludf.DUMMYFUNCTION("""COMPUTED_VALUE"""),"Шум,Неіонізуюче випромінювання,Іонізуюче випромінювання,Мікроклімат,Освітлення")</f>
        <v>Шум,Неіонізуюче випромінювання,Іонізуюче випромінювання,Мікроклімат,Освітлення</v>
      </c>
      <c r="H31" s="17" t="str">
        <f>IFERROR(__xludf.DUMMYFUNCTION("""COMPUTED_VALUE"""),"Азота диоксид,Алюминий и його сплавы,Алюминия  оксид в смеси со сплавом никеля до 15% (электрокорунд),Аммиак,Ангидрид сернистый,Ангидрид хромовый,Ацетон,Ацетальдегид,Бензол,Бутилацетат,Винилацетат,Винила хлорид,Водорода хлорид,Электрокорунд, электрокорунд"&amp;" хромистый,Эпихлоргидрин,Этилацетат ,Кислота муравьиная,Кислота уксусная,Кислота серная,Ксилол (мета-,орто-, пара-),Медь,Марганца оксиды (в пересчете на MnO2) аэрозоль дезинтеграции,Марганца оксиды (в пересчете на MnO2) аэрозоль конденсации,Масла минераль"&amp;"ные нефтяные,Натрия гидрокарбонат,Никель,Никеля соли в виде гидроаэрозоля (по Ni),Озон,Ртуть,Сероводород,Свинец и его неорганические соединения (по свинцу),Сода кальцинированная,Синтетические моющие средства „Лотос”,”Ера”,”Ока” ,Скипидар,Спирт н-бутиловый"&amp;", бутиловый вторичный и третичный
,Спирт этиловий,Спирт метиловий,Титан и его диоксид,Толуол,Фториды натрия, калия, аммония, цинка, олова, серебра, лития и бария, криолит, гидрофторид аммония,Фенол,Формальдегид,Фенолформальдегидные смолы формальдегиду,Фто"&amp;"ристоводородной кислоты соли (по F):
 фториды натрия, калия, аммония, цинка, олова, серебра, лития и бария, криолит, гидрофторид аммония,Хлор,Хроматы, бихроматы,Хрома оксид (по Cr+3),Цинка оксид,Щелочи едкие (растворы в перерасчете на NaOH),Алюминий и его"&amp;" сплавы (в перерасчете на алюминий),Алюминия оксид с примесью свободного диоксида кремния до 15% и оксида железа до 10% ( в виде аерозоля конденсации),Алюминия оксид с примесью диоксида кремния ( в виде аерозоля конденсации),Марганець в сварочном аэрозоле"&amp;": (до 20% и 20-30%),Поливинилхлорид,Полимеры и сополимеры на основе акриловых и метакриловых мономеров,Чугун в смесе с електрокорундом до 20%,Зерновая,Мучная, древесная и др. (с примесью диоксида кремния меньше 2 %),Лубяная, хлопчато-бумажная, хлопковая, "&amp;"льняная,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10 %),Силикатсодержащие пыли, силикаты, алюмосиликаты при содержании ас"&amp;"беста менее 10%; асбестоцемент,Силикатсодержащие пыли, силикаты, алюмосиликаты при содержанииасбеста от 10 до 20%
,Силикатсодержащие пыли, силикаты, алюмосиликаты асбесты природные (хризолит, актофиллит, эктинолит, тремолит, магнезиарфведсонит) и синтетич"&amp;"ескиеасбесты, а такжесмешанныеасбестопородныепыли при содержании в них асбестаболее 20%;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10 %,"&amp;"Асбестоцемент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волокн"&amp;"а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сланцевый,Антрацит с содержанием свободного диоксида кремния "&amp;"до 5 %,Алмазы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гидра"&amp;"т полиакрилонитрильных волокон")</f>
        <v>Азота диоксид,Алюминий и його сплавы,Алюминия  оксид в смеси со сплавом никеля до 15% (электрокорунд),Аммиак,Ангидрид сернистый,Ангидрид хромовый,Ацетон,Ацетальдегид,Бензол,Бутилацетат,Винилацетат,Винила хлорид,Водорода хлорид,Электрокорунд, электрокорунд хромистый,Эпихлоргидрин,Этилацетат ,Кислота муравьиная,Кислота уксусная,Кислота серная,Ксилол (мета-,орто-, пара-),Медь,Марганца оксиды (в пересчете на MnO2) аэрозоль дезинтеграции,Марганца оксиды (в пересчете на MnO2) аэрозоль конденсации,Масла минеральные нефтяные,Натрия гидрокарбонат,Никель,Никеля соли в виде гидроаэрозоля (по Ni),Озон,Ртуть,Сероводород,Свинец и его неорганические соединения (по свинцу),Сода кальцинированная,Синтетические моющие средства „Лотос”,”Ера”,”Ока” ,Скипидар,Спирт н-бутиловый, бутиловый вторичный и третичный
,Спирт этиловий,Спирт метиловий,Титан и его диоксид,Толуол,Фториды натрия, калия, аммония, цинка, олова, серебра, лития и бария, криолит, гидрофторид аммония,Фенол,Формальдегид,Фенолформальдегидные смолы формальдегиду,Фтористоводородной кислоты соли (по F):
 фториды натрия, калия, аммония, цинка, олова, серебра, лития и бария, криолит, гидрофторид аммония,Хлор,Хроматы, бихроматы,Хрома оксид (по Cr+3),Цинка оксид,Щелочи едкие (растворы в перерасчете на NaOH),Алюминий и его сплавы (в перерасчете на алюминий),Алюминия оксид с примесью свободного диоксида кремния до 15% и оксида железа до 10% ( в виде аерозоля конденсации),Алюминия оксид с примесью диоксида кремния ( в виде аерозоля конденсации),Марганець в сварочном аэрозоле: (до 20% и 20-30%),Поливинилхлорид,Полимеры и сополимеры на основе акриловых и метакриловых мономеров,Чугун в смесе с електрокорундом до 20%,Зерновая,Мучная,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10 %),Силикатсодержащие пыли, силикаты, алюмосиликаты при содержании асбеста менее 10%; асбестоцемент,Силикатсодержащие пыли, силикаты, алюмосиликаты при содержанииасбеста от 10 до 20%
,Силикатсодержащие пыли, силикаты, алюмосиликаты асбесты природные (хризолит, актофиллит, эктинолит, тремолит, магнезиарфведсонит) и синтетическиеасбесты, а такжесмешанныеасбестопородныепыли при содержании в них асбестаболее 20%;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сланцевый,Антрацит с содержанием свободного диоксида кремния до 5 %,Алмазы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v>
      </c>
      <c r="I31" s="17" t="str">
        <f>IFERROR(__xludf.DUMMYFUNCTION("""COMPUTED_VALUE"""),"")</f>
        <v/>
      </c>
      <c r="J31" s="17" t="str">
        <f>IFERROR(__xludf.DUMMYFUNCTION("""COMPUTED_VALUE"""),"")</f>
        <v/>
      </c>
      <c r="K31" s="18">
        <f>IFERROR(__xludf.DUMMYFUNCTION("""COMPUTED_VALUE"""),43402.0)</f>
        <v>43402</v>
      </c>
      <c r="L31" s="18" t="str">
        <f>IFERROR(__xludf.DUMMYFUNCTION("""COMPUTED_VALUE"""),"")</f>
        <v/>
      </c>
    </row>
    <row r="32">
      <c r="A32" s="11">
        <f t="shared" si="1"/>
        <v>29</v>
      </c>
      <c r="B32" s="16" t="str">
        <f>IFERROR(__xludf.DUMMYFUNCTION("""COMPUTED_VALUE"""),"ДСП ""Чорнобильська АЕС""")</f>
        <v>ДСП "Чорнобильська АЕС"</v>
      </c>
      <c r="C32" s="16" t="str">
        <f>IFERROR(__xludf.DUMMYFUNCTION("""COMPUTED_VALUE"""),"Київська")</f>
        <v>Київська</v>
      </c>
      <c r="D32" s="16" t="str">
        <f>IFERROR(__xludf.DUMMYFUNCTION("""COMPUTED_VALUE"""),"зона відчуження Чорнобильської АЕС")</f>
        <v>зона відчуження Чорнобильської АЕС</v>
      </c>
      <c r="E32" s="16" t="str">
        <f>IFERROR(__xludf.DUMMYFUNCTION("""COMPUTED_VALUE"""),"зона відчуження Чорнобильської АЕС")</f>
        <v>зона відчуження Чорнобильської АЕС</v>
      </c>
      <c r="F32" s="17" t="str">
        <f>IFERROR(__xludf.DUMMYFUNCTION("""COMPUTED_VALUE"""),"04593-4-37-62")</f>
        <v>04593-4-37-62</v>
      </c>
      <c r="G32" s="17" t="str">
        <f>IFERROR(__xludf.DUMMYFUNCTION("""COMPUTED_VALUE"""),"Вібрація загальна та локальна,Шум,Інфразвук,Неіонізуюче випромінювання,Іонізуюче випромінювання,Мікроклімат,Освітлення,Атмосферний тиск")</f>
        <v>Вібрація загальна та локальна,Шум,Інфразвук,Неіонізуюче випромінювання,Іонізуюче випромінювання,Мікроклімат,Освітлення,Атмосферний тиск</v>
      </c>
      <c r="H32" s="17" t="str">
        <f>IFERROR(__xludf.DUMMYFUNCTION("""COMPUTED_VALUE"""),"")</f>
        <v/>
      </c>
      <c r="I32" s="17" t="str">
        <f>IFERROR(__xludf.DUMMYFUNCTION("""COMPUTED_VALUE"""),"")</f>
        <v/>
      </c>
      <c r="J32" s="17" t="str">
        <f>IFERROR(__xludf.DUMMYFUNCTION("""COMPUTED_VALUE"""),"Важкість праці,Напруженість праці")</f>
        <v>Важкість праці,Напруженість праці</v>
      </c>
      <c r="K32" s="18">
        <f>IFERROR(__xludf.DUMMYFUNCTION("""COMPUTED_VALUE"""),43402.0)</f>
        <v>43402</v>
      </c>
      <c r="L32" s="18" t="str">
        <f>IFERROR(__xludf.DUMMYFUNCTION("""COMPUTED_VALUE"""),"")</f>
        <v/>
      </c>
    </row>
    <row r="33">
      <c r="A33" s="11">
        <f t="shared" si="1"/>
        <v>30</v>
      </c>
      <c r="B33" s="16" t="str">
        <f>IFERROR(__xludf.DUMMYFUNCTION("""COMPUTED_VALUE"""),"ТОВ ""Науково-технічний лабораторний центр ""ТРІМ ЕКО""")</f>
        <v>ТОВ "Науково-технічний лабораторний центр "ТРІМ ЕКО"</v>
      </c>
      <c r="C33" s="16" t="str">
        <f>IFERROR(__xludf.DUMMYFUNCTION("""COMPUTED_VALUE"""),"Черкаська")</f>
        <v>Черкаська</v>
      </c>
      <c r="D33" s="16" t="str">
        <f>IFERROR(__xludf.DUMMYFUNCTION("""COMPUTED_VALUE"""),"Черкаси")</f>
        <v>Черкаси</v>
      </c>
      <c r="E33" s="16" t="str">
        <f>IFERROR(__xludf.DUMMYFUNCTION("""COMPUTED_VALUE"""),"вул. Сумгаїтська, 10")</f>
        <v>вул. Сумгаїтська, 10</v>
      </c>
      <c r="F33" s="17" t="str">
        <f>IFERROR(__xludf.DUMMYFUNCTION("""COMPUTED_VALUE"""),"0472-63-17-70      0472-63-17-70")</f>
        <v>0472-63-17-70      0472-63-17-70</v>
      </c>
      <c r="G33" s="17" t="str">
        <f>IFERROR(__xludf.DUMMYFUNCTION("""COMPUTED_VALUE"""),"Вібрація загальна та локальна,Шум,Неіонізуюче випромінювання,Мікроклімат,Освітлення,Атмосферний тиск")</f>
        <v>Вібрація загальна та локальна,Шум,Неіонізуюче випромінювання,Мікроклімат,Освітлення,Атмосферний тиск</v>
      </c>
      <c r="H33" s="17" t="str">
        <f>IFERROR(__xludf.DUMMYFUNCTION("""COMPUTED_VALUE"""),"Азота оксид (IV) в перерарасчете на (NO2),Акролеин,Алюминий и його сплавы,Аммиак,Ангидрид борный,Ангидрид сернистый,Ангидрид фосфорный,Ангидрид фталевый,Ангидрид хромовый,Анилин,Ацетон,Ацетальдегид,Бензин,Бензол,Бутилацетат,Винилацетат,Винила хлорид,Водор"&amp;"од фосфористый (фосфин),Гексан,Глутаровый диальдегид,Дибутилфталат,Диэтиламин,Диэтиловый эфир,Этилцеллозольв (этиловый эфир этиленгликоля),Этиленгликоль,Этилбензол,Этилацетат ,Карбамид (мочевина),Кислота борная,Кислота уксусная,Керосин,Кислота серная,Ксил"&amp;"ол (мета-,орто-, пара-),Медь,Марганца оксиды (в пересчете на MnO2) аэрозоль дезинтеграции,Марганца оксиды (в пересчете на MnO2) аэрозоль конденсации,Масла минеральные нефтяные,Моноэтаноламин,Натрия хлорид,Никеля соли в виде гидроаэрозоля (по Ni),Никель, н"&amp;"икеля оксиды, сульфиды и смеси соединений никеля (файнштейн, никелевый концентрат и агломерат, оборотная пыль очистных устройств (по Ni)
,Озон,Ртуть,Селена диоксид,Сероводород,Свинец и его неорганические соединения (по свинцу),Синтетические моющие средств"&amp;"а „Лотос”,”Ера”,”Ока” ,Скипидар,Спирт н-бутиловый, бутиловый вторичный и третичный
,Спирт этиловий,Спирт метиловий,Спирт пропиловый,Спирт амиловый
,Спирт изопропиловый,Стирол,Триметиламин,Толуол,Уайт-спирит (в пересчете на С),Углеводороды алифатические пр"&amp;"едельные,Углерода оксид,Фенол,Формальдегид,Фенолформальдегидные смолы по фенолу,Фенолформальдегидные смолы формальдегиду,Фенопласты,Фторопласт-4,Фурфурол,Хлор,Хроматы, бихроматы,Хрома оксид (по Cr+3),Циклогексан,Цинка оксид,Щелочи едкие (растворы в перера"&amp;"счете на NaOH),Алюминия оксид в виде аэрозоля дезинтеграции (глинозем, электрокорунд, монокорунд),Марганець в сварочном аэрозоле: (до 20% и 20-30%),Железный агломерат,Корунд белый,Кремния диоксид аморфный в виде аэрозоля конденсации при содержании: больше"&amp;" 60 %,Кремния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аморфный в виде аэрозоля дезинтеграции (диатомит, кварцевое стекло, плавленый"&amp;" кварц, трепел);,Кремния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д"&amp;"р.),Кремния диоксид кристаллический при содержании в пыле от 2 до 10 % (горючие кукерситные сланцы, медно сульфидные руды и др.),Поливинилхлорид,Полимеры и сополимеры на основе акриловых и метакриловых мономеров,Полипропилен,Полиэтилен,Чугун в смесе с еле"&amp;"ктрокорундом до 20%,Зерновая,Мучная,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"&amp;"шерстяная, пуховая и др. (с примесью диоксида кремния от 2 до 10 %),Силикатсодержащие пыли, силикаты, алюмосиликаты при содержании асбеста менее 10%; асбестоцемент,Силикатсодержащие пыли, силикаты, алюмосиликаты при содержанииасбеста от 10 до 20%
,Силикат"&amp;"содержащие пыли, силикаты, алюмосиликаты асбесты природные (хризолит, актофиллит, эктинолит, тремолит, магнезиарфведсонит) и синтетическиеасбесты, а такжесмешанныеасбестопородныепыли при содержании в них асбестаболее 20%;
,Асбест природный и исскуственны"&amp;"й,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(т"&amp;"уфы,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каолиновый,Цеолиты"&amp;" (природные и искусственные)
,Стеклопластик на основе полиэфирной смолы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диокси"&amp;"да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м"&amp;"атериалы на основе гидрат полиакрилонитрильных волокон")</f>
        <v>Азота оксид (IV) в перерарасчете на (NO2),Акролеин,Алюминий и його сплавы,Аммиак,Ангидрид борный,Ангидрид сернистый,Ангидрид фосфорный,Ангидрид фталевый,Ангидрид хромовый,Анилин,Ацетон,Ацетальдегид,Бензин,Бензол,Бутилацетат,Винилацетат,Винила хлорид,Водород фосфористый (фосфин),Гексан,Глутаровый диальдегид,Дибутилфталат,Диэтиламин,Диэтиловый эфир,Этилцеллозольв (этиловый эфир этиленгликоля),Этиленгликоль,Этилбензол,Этилацетат ,Карбамид (мочевина),Кислота борная,Кислота уксусная,Керосин,Кислота серная,Ксилол (мета-,орто-, пара-),Медь,Марганца оксиды (в пересчете на MnO2) аэрозоль дезинтеграции,Марганца оксиды (в пересчете на MnO2) аэрозоль конденсации,Масла минеральные нефтяные,Моноэтаноламин,Натрия хлорид,Никеля соли в виде гидроаэрозоля (по Ni),Никель, никеля оксиды, сульфиды и смеси соединений никеля (файнштейн, никелевый концентрат и агломерат, оборотная пыль очистных устройств (по Ni)
,Озон,Ртуть,Селена диоксид,Сероводород,Свинец и его неорганические соединения (по свинцу),Синтетические моющие средства „Лотос”,”Ера”,”Ока” ,Скипидар,Спирт н-бутиловый, бутиловый вторичный и третичный
,Спирт этиловий,Спирт метиловий,Спирт пропиловый,Спирт амиловый
,Спирт изопропиловый,Стирол,Триметиламин,Толуол,Уайт-спирит (в пересчете на С),Углеводороды алифатические предельные,Углерода оксид,Фенол,Формальдегид,Фенолформальдегидные смолы по фенолу,Фенолформальдегидные смолы формальдегиду,Фенопласты,Фторопласт-4,Фурфурол,Хлор,Хроматы, бихроматы,Хрома оксид (по Cr+3),Циклогексан,Цинка оксид,Щелочи едкие (растворы в перерасчете на NaOH),Алюминия оксид в виде аэрозоля дезинтеграции (глинозем, электрокорунд, монокорунд),Марганець в сварочном аэрозоле: (до 20% и 20-30%),Железный агломерат,Корунд белый,Кремния диоксид аморфный в виде аэрозоля конденсации при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аморфный в виде аэрозоля дезинтеграции (диатомит, кварцевое стекло, плавленый кварц, трепел);,Кремния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др.),Поливинилхлорид,Полимеры и сополимеры на основе акриловых и метакриловых мономеров,Полипропилен,Полиэтилен,Чугун в смесе с електрокорундом до 20%,Зерновая,Мучная,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10 %),Силикатсодержащие пыли, силикаты, алюмосиликаты при содержании асбеста менее 10%; асбестоцемент,Силикатсодержащие пыли, силикаты, алюмосиликаты при содержанииасбеста от 10 до 20%
,Силикатсодержащие пыли, силикаты, алюмосиликаты асбесты природные (хризолит, актофиллит, эктинолит, тремолит, магнезиарфведсонит) и синтетическиеасбесты, а такжесмешанныеасбестопородныепыли при содержании в них асбестаболее 20%;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,Стеклопластик на основе полиэфирной смолы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v>
      </c>
      <c r="I33" s="17" t="str">
        <f>IFERROR(__xludf.DUMMYFUNCTION("""COMPUTED_VALUE"""),"")</f>
        <v/>
      </c>
      <c r="J33" s="17" t="str">
        <f>IFERROR(__xludf.DUMMYFUNCTION("""COMPUTED_VALUE"""),"Важкість праці,Напруженість праці")</f>
        <v>Важкість праці,Напруженість праці</v>
      </c>
      <c r="K33" s="18">
        <f>IFERROR(__xludf.DUMMYFUNCTION("""COMPUTED_VALUE"""),43404.0)</f>
        <v>43404</v>
      </c>
      <c r="L33" s="18" t="str">
        <f>IFERROR(__xludf.DUMMYFUNCTION("""COMPUTED_VALUE"""),"")</f>
        <v/>
      </c>
    </row>
    <row r="34">
      <c r="A34" s="11">
        <f t="shared" si="1"/>
        <v>31</v>
      </c>
      <c r="B34" s="16" t="str">
        <f>IFERROR(__xludf.DUMMYFUNCTION("""COMPUTED_VALUE"""),"ТОВ ""Науково-дослідне виробниче підприємство ""Екологія""")</f>
        <v>ТОВ "Науково-дослідне виробниче підприємство "Екологія"</v>
      </c>
      <c r="C34" s="16" t="str">
        <f>IFERROR(__xludf.DUMMYFUNCTION("""COMPUTED_VALUE"""),"Львівська")</f>
        <v>Львівська</v>
      </c>
      <c r="D34" s="16" t="str">
        <f>IFERROR(__xludf.DUMMYFUNCTION("""COMPUTED_VALUE"""),"Львів")</f>
        <v>Львів</v>
      </c>
      <c r="E34" s="16" t="str">
        <f>IFERROR(__xludf.DUMMYFUNCTION("""COMPUTED_VALUE"""),"вул. Антоновича, 128")</f>
        <v>вул. Антоновича, 128</v>
      </c>
      <c r="F34" s="17" t="str">
        <f>IFERROR(__xludf.DUMMYFUNCTION("""COMPUTED_VALUE"""),"032-295-51-05")</f>
        <v>032-295-51-05</v>
      </c>
      <c r="G34" s="17" t="str">
        <f>IFERROR(__xludf.DUMMYFUNCTION("""COMPUTED_VALUE"""),"Вібрація загальна та локальна,Шум,Ультразвук,Інфразвук,Неіонізуюче випромінювання,Іонізуюче випромінювання,Мікроклімат,Освітлення,Атмосферний тиск")</f>
        <v>Вібрація загальна та локальна,Шум,Ультразвук,Інфразвук,Неіонізуюче випромінювання,Іонізуюче випромінювання,Мікроклімат,Освітлення,Атмосферний тиск</v>
      </c>
      <c r="H34" s="17" t="str">
        <f>IFERROR(__xludf.DUMMYFUNCTION("""COMPUTED_VALUE"""),"Азота диоксид,Азота оксид (IV) в перерарасчете на (NO2),Акрилонитрил,Акролеин,Акриламид,Алюминат лантана титанат кальция,Алюминий и його сплавы,Алюминия гидроксид,Алюминия магнид,Алюминия нитрид,Алюминия  оксид в смеси со сплавом никеля до 15% (электрокор"&amp;"унд),Аллила хлорид,Альдегид кротоновый,Амилацетат,Аминопласты (пресс-порошки),Амины алифатические
,Аммиак,Аммония роданид,Аммония тиосульфат,Аммония хлорид,Ангидрид борный,Ангидрид малеиновый,Ангидрид масляный,Ангидрид нафталевый,Ангидрид сернистый,Ангидр"&amp;"ид фосфорный,Ангидрид хромовый,Анилин,Аценафтен,Ацетон,Ацетопропилацетат,Ацетальдегид,Бензальдегид,Бензантрон,Бензин,Бензол,п-Бензохинон,Бенз(а)пирен,Бром,Бромацетопропилацетат,1,3-Бутадиен (дивинил),Бутилацетат,Бутилметакрилат,Бутиловый эфир этиленгликол"&amp;"я,Ванадий и его соединения,Винилацетат,Винилбутиловый эфир,Винила хлорид,N-Винилпирролидон,Водорода хлорид,Водорода цианид,Водород мышьяковистый (арсин),Водород фтористий (в пересчете на F),Возгоны каменноугольных смол и пеков при содержании в них бензапи"&amp;"рена,Вольфрам, вольфрама карбид и силицид,Вольфрама сульфид и дисульфид,Вулканизационные газы шинного производства (резины на основе СКИ-3, СКД, СКС-30, АРКМ-15) по суммарному содержанию аминосоединений в воздухе,Гексабромбензол,Гексаметилендиамин,Гексан,"&amp;"Гидразин и его производные,Дибутилфталат,Диметилтерефталат,Диметиламин,N/3-Диметиламинопропил/-3-хлорфенотиазин/ хлоргидрат+(аминазин),Диметиланилин,2,6-Диметилфенол,Диметилформамид,Диметилциклогексиламин,2,4-Динитроанилин,Динитробензол,Динитротолуол,3,4-"&amp;"Дихлоранилин,Дихлорбензол,Дихлорэтан,Диэтиловый эфир,Зола горючих сланцев,Изобутилен,Йод,Электрокорунд, электрокорунд хромистый,Эпихлоргидрин,Эритромицин,Этилакрилат,Этила хлорид,Этилендиамин,Этиленгликоль,Этилбензол,Этилацетат ,Этилена оксид,Этилмеркапта"&amp;"н,Кальция гидрооксид,Кальция глюконат,Кальция силикат искуственный (волластонит),Кальция хлорид,Кадмий и его неорганические соединения,Камфора,Капролактам ,Капрон,Карбамид (мочевина),Кислота азотная,Кислота адипиновая,Кислота борная,Кислота метакриловая,К"&amp;"ислота акриловая,Кислота кремниевая,Кислота кремниева в смеси,Кислота муравьиная,Кислота уксусная,Керамика,Керосин,Кислота серная,Кобальт и его неорганические соединения,Кобальта оксид,Крезол,Лавсан,Левомицетин,Ксилол (мета-,орто-, пара-),Метилена бромид,"&amp;"Метилена хлорид,Медь,Марганца оксиды (в пересчете на MnO2) аэрозоль дезинтеграции,Марганца оксиды (в пересчете на MnO2) аэрозоль конденсации,Масла минеральные нефтяные,Метилгексилкетон,Метилметакрилат,Метиловый эфир акриловой кислоты (метилакрилат),Метила"&amp;"крилат,Метилмеркаптан,Молибден,Монобутиламин,Монометиламин,Мышьяка неорганические соединения (по мышьяку),Натрия гидрокарбонат,Натрия перборат,Натрия сульфид,Натрия хлорат,Натрия хлорид,Натрия хлорит,Нафталин,Никеля соли в виде гидроаэрозоля (по Ni),Никел"&amp;"ь, никеля оксиды, сульфиды и смеси соединений никеля (файнштейн, никелевый концентрат и агломерат, оборотная пыль очистных устройств (по Ni)
,Нитротолуол (пара-, мета- и ортоизомеры),Озон,Пропилен,Пропиленгликоль,Пропилена оксид,Пропилацетат,Ртуть,Сера эл"&amp;"ементарная,Сероводород,Сероуглерод,Свинец и его неорганические соединения (по свинцу),Сода кальцинированная,Сольвент-нафта,Синтетические моющие средства „Лотос”,”Ера”,”Ока” ,Скипидар,Спирт н-бутиловый, бутиловый вторичный и третичный
,Спирт этиловий,Спирт"&amp;" метиловий,Спирт изобутиловый,Спирт изопропиловый,Спирт фуриловый (фурфуриловый),Стирол,Титан и его диоксид,Толуилендиизоцианат,Тетрахлорэтилен,Тетрациклин,Тетраэтилсвинец,Триаллиламин,Трихлорэтилен,Трихлорбутадиен,1,1,1-Трихлорэтан (метилхлороформ),Трихл"&amp;"орбензол,Трихлорацетальдегид (хлораль),1,1,1-Трифтор-2-хлорбромэтан (фторотан),Толуол,Уайт-спирит (в пересчете на С),Углеводороды алифатические предельные,Углерода оксид,Углерод четыреххлористый,Фенантрен,Фенацетин (п-ацетаминофенетол),Фенол,Феррит бариев"&amp;"ый,Феррит магниймарганцевый,Феррит марганеццинковый,Феррит никельмедный,Феррит никельцинковый,Формальдегид,Формамид,Фенопласты,Феррохром металлический (сплав хрома 65% с железом),Фтористоводородной кислоты соли (по F):
 фториды натрия, калия, аммония, цин"&amp;"ка, олова, серебра, лития и бария, криолит, гидрофторид аммония,Фторопласт-4,Фурфурол,Хлор,Хлорбензол,Хлора диоксид,Хлорацетопропилацетат,Хроматы, бихроматы,Хрома оксид (по Cr+3),Цирконий,Циклогексан,Циклогексанон,Цинка оксид,Щелочи едкие (растворы в пере"&amp;"расчете на NaOH),Алюминия оксид в виде аэрозоля дезинтеграции (глинозем, электрокорунд, монокорунд),Алюминия оксид с примесью свободного диоксида кремния до 15% и оксида железа до 10% ( в виде аерозоля конденсации),Алюминия оксид с примесью диоксида кремн"&amp;"ия ( в виде аерозоля конденсации),Марганець в сварочном аэрозоле: (до 20% и 20-30%),Аммофос+ (смесь моно- и диаммоний фосфатов),Аэросил, модифицированный бутиловым спиртом (бутосил),Аэросил, модифицированный диметилдихлорсиланом,Барит,Бокситы,Бора карбид,"&amp;"Бора нитрид кубический и гексагональный,Боросодержащие смеси (Роксбор-КС, Роксбор-МВ, Роксбор-БЦ),Датолитовый концентрат,Дистенсиллиманит,Доломит,Дунитоперидотитовые пески,Железный агломерат,Железорудные окатыши,Железо-иттриевые гранаты, содержащие гадоли"&amp;"ний и (или) галлий ,Известняк,Искусственное поликристаллическое глиноземлистое волокно,Корунд белый,Кремния диоксид аморфный в виде аэрозоля конденсации при содержании: больше 60 %,Кремния диоксид аморфный в виде аэрозоля конденсации при содержании 60-10 "&amp;"%,Кремния диоксид аморфный в виде аэрозоля конденсации при содержании меньше 10 %,Кремния диоксид аморфный в виде аэрозоля дезинтеграции (диатомит, кварцевое стекло, плавленый кварц, трепел);,Кремния диоксид кристаллический (кварц, кристобелит, тридимит) "&amp;"при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"&amp;"кукерситные сланцы, медно сульфидные руды и др.),Кремния карбид (карборунд).,Кремния  нитрид,Кремния тетраборид,Кремнемедистый сплав,Меди магнид,Поливинилхлорид,Полимеры и сополимеры на основе акриловых и метакриловых мономеров,Полипропилен,Полиэтилен,Пыл"&amp;"ь доменного шлака,Магнезит,Нефелин и нефелиновый сиенит,Ниобий металлический,Ниобия пятиокись,Ниобия нитрид,Нитроаммофоска,Нитрон,Полиборид магния,Смолодоломит,Спек боксита и нефелина,Спек бокситов низкокремнистых,Стиромаль,Тантал и его оксиды,Терлон,Тита"&amp;"на нитрид, силицид,Чугун в смесе с електрокорундом до 20%,Шамотнографитовые огнеупоры,Зерновая,Мучная,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к"&amp;"ремния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10 %,Асбестопородные"&amp;"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диокси"&amp;"да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сланцевый,Антрацит"&amp;"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бензапи"&amp;"рена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f>
        <v>Азота диоксид,Азота оксид (IV) в перерарасчете на (NO2),Акрилонитрил,Акролеин,Акриламид,Алюминат лантана титанат кальция,Алюминий и його сплавы,Алюминия гидроксид,Алюминия магнид,Алюминия нитрид,Алюминия  оксид в смеси со сплавом никеля до 15% (электрокорунд),Аллила хлорид,Альдегид кротоновый,Амилацетат,Аминопласты (пресс-порошки),Амины алифатические
,Аммиак,Аммония роданид,Аммония тиосульфат,Аммония хлорид,Ангидрид борный,Ангидрид малеиновый,Ангидрид масляный,Ангидрид нафталевый,Ангидрид сернистый,Ангидрид фосфорный,Ангидрид хромовый,Анилин,Аценафтен,Ацетон,Ацетопропилацетат,Ацетальдегид,Бензальдегид,Бензантрон,Бензин,Бензол,п-Бензохинон,Бенз(а)пирен,Бром,Бромацетопропилацетат,1,3-Бутадиен (дивинил),Бутилацетат,Бутилметакрилат,Бутиловый эфир этиленгликоля,Ванадий и его соединения,Винилацетат,Винилбутиловый эфир,Винила хлорид,N-Винилпирролидон,Водорода хлорид,Водорода цианид,Водород мышьяковистый (арсин),Водород фтористий (в пересчете на F),Возгоны каменноугольных смол и пеков при содержании в них бензапирена,Вольфрам, вольфрама карбид и силицид,Вольфрама сульфид и дисульфид,Вулканизационные газы шинного производства (резины на основе СКИ-3, СКД, СКС-30, АРКМ-15) по суммарному содержанию аминосоединений в воздухе,Гексабромбензол,Гексаметилендиамин,Гексан,Гидразин и его производные,Дибутилфталат,Диметилтерефталат,Диметиламин,N/3-Диметиламинопропил/-3-хлорфенотиазин/ хлоргидрат+(аминазин),Диметиланилин,2,6-Диметилфенол,Диметилформамид,Диметилциклогексиламин,2,4-Динитроанилин,Динитробензол,Динитротолуол,3,4-Дихлоранилин,Дихлорбензол,Дихлорэтан,Диэтиловый эфир,Зола горючих сланцев,Изобутилен,Йод,Электрокорунд, электрокорунд хромистый,Эпихлоргидрин,Эритромицин,Этилакрилат,Этила хлорид,Этилендиамин,Этиленгликоль,Этилбензол,Этилацетат ,Этилена оксид,Этилмеркаптан,Кальция гидрооксид,Кальция глюконат,Кальция силикат искуственный (волластонит),Кальция хлорид,Кадмий и его неорганические соединения,Камфора,Капролактам ,Капрон,Карбамид (мочевина),Кислота азотная,Кислота адипиновая,Кислота борная,Кислота метакриловая,Кислота акриловая,Кислота кремниевая,Кислота кремниева в смеси,Кислота муравьиная,Кислота уксусная,Керамика,Керосин,Кислота серная,Кобальт и его неорганические соединения,Кобальта оксид,Крезол,Лавсан,Левомицетин,Ксилол (мета-,орто-, пара-),Метилена бромид,Метилена хлорид,Медь,Марганца оксиды (в пересчете на MnO2) аэрозоль дезинтеграции,Марганца оксиды (в пересчете на MnO2) аэрозоль конденсации,Масла минеральные нефтяные,Метилгексилкетон,Метилметакрилат,Метиловый эфир акриловой кислоты (метилакрилат),Метилакрилат,Метилмеркаптан,Молибден,Монобутиламин,Монометиламин,Мышьяка неорганические соединения (по мышьяку),Натрия гидрокарбонат,Натрия перборат,Натрия сульфид,Натрия хлорат,Натрия хлорид,Натрия хлорит,Нафталин,Никеля соли в виде гидроаэрозоля (по Ni),Никель, никеля оксиды, сульфиды и смеси соединений никеля (файнштейн, никелевый концентрат и агломерат, оборотная пыль очистных устройств (по Ni)
,Нитротолуол (пара-, мета- и ортоизомеры),Озон,Пропилен,Пропиленгликоль,Пропилена оксид,Пропилацетат,Ртуть,Сера элементарная,Сероводород,Сероуглерод,Свинец и его неорганические соединения (по свинцу),Сода кальцинированная,Сольвент-нафта,Синтетические моющие средства „Лотос”,”Ера”,”Ока” ,Скипидар,Спирт н-бутиловый, бутиловый вторичный и третичный
,Спирт этиловий,Спирт метиловий,Спирт изобутиловый,Спирт изопропиловый,Спирт фуриловый (фурфуриловый),Стирол,Титан и его диоксид,Толуилендиизоцианат,Тетрахлорэтилен,Тетрациклин,Тетраэтилсвинец,Триаллиламин,Трихлорэтилен,Трихлорбутадиен,1,1,1-Трихлорэтан (метилхлороформ),Трихлорбензол,Трихлорацетальдегид (хлораль),1,1,1-Трифтор-2-хлорбромэтан (фторотан),Толуол,Уайт-спирит (в пересчете на С),Углеводороды алифатические предельные,Углерода оксид,Углерод четыреххлористый,Фенантрен,Фенацетин (п-ацетаминофенетол),Фенол,Феррит бариевый,Феррит магниймарганцевый,Феррит марганеццинковый,Феррит никельмедный,Феррит никельцинковый,Формальдегид,Формамид,Фенопласты,Феррохром металлический (сплав хрома 65% с железом),Фтористоводородной кислоты соли (по F):
 фториды натрия, калия, аммония, цинка, олова, серебра, лития и бария, криолит, гидрофторид аммония,Фторопласт-4,Фурфурол,Хлор,Хлорбензол,Хлора диоксид,Хлорацетопропилацетат,Хроматы, бихроматы,Хрома оксид (по Cr+3),Цирконий,Циклогексан,Циклогексанон,Цинка оксид,Щелочи едкие (растворы в перерасчете на NaOH),Алюминия оксид в виде аэрозоля дезинтеграции (глинозем, электрокорунд, монокорунд),Алюминия оксид с примесью свободного диоксида кремния до 15% и оксида железа до 10% ( в виде аерозоля конденсации),Алюминия оксид с примесью диоксида кремния ( в виде аерозоля конденсации),Марганець в сварочном аэрозоле: (до 20% и 20-30%),Аммофос+ (смесь моно- и диаммоний фосфатов),Аэросил, модифицированный бутиловым спиртом (бутосил),Аэросил, модифицированный диметилдихлорсиланом,Барит,Бокситы,Бора карбид,Бора нитрид кубический и гексагональный,Боросодержащие смеси (Роксбор-КС, Роксбор-МВ, Роксбор-БЦ),Датолитовый концентрат,Дистенсиллиманит,Доломит,Дунитоперидотитовые пески,Железный агломерат,Железорудные окатыши,Железо-иттриевые гранаты, содержащие гадолиний и (или) галлий ,Известняк,Искусственное поликристаллическое глиноземлистое волокно,Корунд белый,Кремния диоксид аморфный в виде аэрозоля конденсации при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аморфный в виде аэрозоля дезинтеграции (диатомит, кварцевое стекло, плавленый кварц, трепел);,Кремния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др.),Кремния карбид (карборунд).,Кремния  нитрид,Кремния тетраборид,Кремнемедистый сплав,Меди магнид,Поливинилхлорид,Полимеры и сополимеры на основе акриловых и метакриловых мономеров,Полипропилен,Полиэтилен,Пыль доменного шлака,Магнезит,Нефелин и нефелиновый сиенит,Ниобий металлический,Ниобия пятиокись,Ниобия нитрид,Нитроаммофоска,Нитрон,Полиборид магния,Смолодоломит,Спек боксита и нефелина,Спек бокситов низкокремнистых,Стиромаль,Тантал и его оксиды,Терлон,Титана нитрид, силицид,Чугун в смесе с електрокорундом до 20%,Шамотнографитовые огнеупоры,Зерновая,Мучная,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v>
      </c>
      <c r="I34" s="17" t="str">
        <f>IFERROR(__xludf.DUMMYFUNCTION("""COMPUTED_VALUE"""),"")</f>
        <v/>
      </c>
      <c r="J34" s="17" t="str">
        <f>IFERROR(__xludf.DUMMYFUNCTION("""COMPUTED_VALUE"""),"Важкість праці,Напруженість праці")</f>
        <v>Важкість праці,Напруженість праці</v>
      </c>
      <c r="K34" s="18">
        <f>IFERROR(__xludf.DUMMYFUNCTION("""COMPUTED_VALUE"""),43403.0)</f>
        <v>43403</v>
      </c>
      <c r="L34" s="18" t="str">
        <f>IFERROR(__xludf.DUMMYFUNCTION("""COMPUTED_VALUE"""),"")</f>
        <v/>
      </c>
    </row>
    <row r="35">
      <c r="A35" s="11">
        <f t="shared" si="1"/>
        <v>32</v>
      </c>
      <c r="B35" s="16" t="str">
        <f>IFERROR(__xludf.DUMMYFUNCTION("""COMPUTED_VALUE"""),"Маріупольська міська філія ДУ ""Донецький обласний лабораторний центр МОЗ України""")</f>
        <v>Маріупольська міська філія ДУ "Донецький обласний лабораторний центр МОЗ України"</v>
      </c>
      <c r="C35" s="16" t="str">
        <f>IFERROR(__xludf.DUMMYFUNCTION("""COMPUTED_VALUE"""),"Донецька")</f>
        <v>Донецька</v>
      </c>
      <c r="D35" s="16" t="str">
        <f>IFERROR(__xludf.DUMMYFUNCTION("""COMPUTED_VALUE"""),"Маріуполь")</f>
        <v>Маріуполь</v>
      </c>
      <c r="E35" s="16" t="str">
        <f>IFERROR(__xludf.DUMMYFUNCTION("""COMPUTED_VALUE"""),"вул. Бахчіванджи, 57")</f>
        <v>вул. Бахчіванджи, 57</v>
      </c>
      <c r="F35" s="17" t="str">
        <f>IFERROR(__xludf.DUMMYFUNCTION("""COMPUTED_VALUE"""),"0629-53-36-94")</f>
        <v>0629-53-36-94</v>
      </c>
      <c r="G35" s="17" t="str">
        <f>IFERROR(__xludf.DUMMYFUNCTION("""COMPUTED_VALUE"""),"Вібрація загальна та локальна,Шум,Неіонізуюче випромінювання,Іонізуюче випромінювання,Мікроклімат,Освітлення")</f>
        <v>Вібрація загальна та локальна,Шум,Неіонізуюче випромінювання,Іонізуюче випромінювання,Мікроклімат,Освітлення</v>
      </c>
      <c r="H35" s="17" t="str">
        <f>IFERROR(__xludf.DUMMYFUNCTION("""COMPUTED_VALUE"""),"Азота диоксид,Акрилонитрил,Акролеин,Алюминий и його сплавы,Аммиак,Ангидрид сернистый,Ангидрид фосфорный,Ангидрид хромовый,Ацетон,Бензол,1,3-Бутадиен (дивинил),Бутилацетат,Водорода хлорид,Водорода цианид,Водород фтористий (в пересчете на F),Гексан,Диэтилов"&amp;"ый эфир,Эпихлоргидрин,Этиленгликоль,Этилацетат ,Этилмеркаптан,Кислота уксусная,Кислота серная,Ксилол (мета-,орто-, пара-),Медь,Марганца оксиды (в пересчете на MnO2) аэрозоль дезинтеграции,Марганца оксиды (в пересчете на MnO2) аэрозоль конденсации,Масла ми"&amp;"неральные нефтяные,Молибдена растворимые соединения в виде аэрозоля конденсации,Мышьяка неорганические соединения (по мышьяку),Натрия хлорид,Нафталин,Никель, никеля оксиды, сульфиды и смеси соединений никеля (файнштейн, никелевый концентрат и агломерат, о"&amp;"боротная пыль очистных устройств (по Ni)
,Озон,Пиридин,Ртуть,Сероводород,Сероуглерод,Свинец и его неорганические соединения (по свинцу),Спирт н-бутиловый, бутиловый вторичный и третичный
,Спирт этиловий,Спирт метиловий,Спирт изопропиловый,Стирол,Титан и е"&amp;"го диоксид,Триэтаноламин ,Толуол,Углерода оксид,Углерод четыреххлористый,Фенол,Формальдегид,Фтористоводородной кислоты соли (по F):
 фториды натрия, калия, аммония, цинка, олова, серебра, лития и бария, криолит, гидрофторид аммония,Хлор,Хрома оксид (по Cr"&amp;"+3),Цинка оксид,Щелочи едкие (растворы в перерасчете на NaOH),Алюминия оксид в виде аэрозоля дезинтеграции (глинозем, электрокорунд, монокорунд),Марганець в сварочном аэрозоле: (до 20% и 20-30%),Известняк,Кремния диоксид аморфный в виде аэрозоля конденсац"&amp;"ии при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аморфный в виде аэрозоля дезинтеграции (диатомит, кв"&amp;"арцевое стекло, плавленый кварц, трепел);,Кремния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слюда-сир"&amp;"ец, углепородная пыль и др.),Кремния диоксид кристаллический при содержании в пыле от 2 до 10 % (горючие кукерситные сланцы, медно сульфидные руды и др.),Зерновая,Мучная, древесная и др. (с примесью диоксида кремния меньше 2 %),Лубяная, хлопчато-бумажная,"&amp;"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10 %),Силикатсодержащие пыли, силикаты, алюмосиликаты при с"&amp;"одержанииасбеста от 10 до 20%
,Силикатсодержащие пыли, силикаты, алюмосиликаты асбесты природные (хризолит, актофиллит, эктинолит, тремолит, магнезиарфведсонит) и синтетическиеасбесты, а такжесмешанныеасбестопородныепыли при содержании в них асбестаболее "&amp;"20%;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до"&amp;"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нефтян"&amp;"ой,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10%,Углеродные волокнистые материалы на основе гидрат целлюлозных волокон,Углеродные"&amp;" волокнистые материалы на основе гидрат полиакрилонитрильных волокон")</f>
        <v>Азота диоксид,Акрилонитрил,Акролеин,Алюминий и його сплавы,Аммиак,Ангидрид сернистый,Ангидрид фосфорный,Ангидрид хромовый,Ацетон,Бензол,1,3-Бутадиен (дивинил),Бутилацетат,Водорода хлорид,Водорода цианид,Водород фтористий (в пересчете на F),Гексан,Диэтиловый эфир,Эпихлоргидрин,Этиленгликоль,Этилацетат ,Этилмеркаптан,Кислота уксусная,Кислота серная,Ксилол (мета-,орто-, пара-),Медь,Марганца оксиды (в пересчете на MnO2) аэрозоль дезинтеграции,Марганца оксиды (в пересчете на MnO2) аэрозоль конденсации,Масла минеральные нефтяные,Молибдена растворимые соединения в виде аэрозоля конденсации,Мышьяка неорганические соединения (по мышьяку),Натрия хлорид,Нафталин,Никель, никеля оксиды, сульфиды и смеси соединений никеля (файнштейн, никелевый концентрат и агломерат, оборотная пыль очистных устройств (по Ni)
,Озон,Пиридин,Ртуть,Сероводород,Сероуглерод,Свинец и его неорганические соединения (по свинцу),Спирт н-бутиловый, бутиловый вторичный и третичный
,Спирт этиловий,Спирт метиловий,Спирт изопропиловый,Стирол,Титан и его диоксид,Триэтаноламин ,Толуол,Углерода оксид,Углерод четыреххлористый,Фенол,Формальдегид,Фтористоводородной кислоты соли (по F):
 фториды натрия, калия, аммония, цинка, олова, серебра, лития и бария, криолит, гидрофторид аммония,Хлор,Хрома оксид (по Cr+3),Цинка оксид,Щелочи едкие (растворы в перерасчете на NaOH),Алюминия оксид в виде аэрозоля дезинтеграции (глинозем, электрокорунд, монокорунд),Марганець в сварочном аэрозоле: (до 20% и 20-30%),Известняк,Кремния диоксид аморфный в виде аэрозоля конденсации при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аморфный в виде аэрозоля дезинтеграции (диатомит, кварцевое стекло, плавленый кварц, трепел);,Кремния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10 %),Силикатсодержащие пыли, силикаты, алюмосиликаты при содержанииасбеста от 10 до 20%
,Силикатсодержащие пыли, силикаты, алюмосиликаты асбесты природные (хризолит, актофиллит, эктинолит, тремолит, магнезиарфведсонит) и синтетическиеасбесты, а такжесмешанныеасбестопородныепыли при содержании в них асбестаболее 20%;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v>
      </c>
      <c r="I35" s="17" t="str">
        <f>IFERROR(__xludf.DUMMYFUNCTION("""COMPUTED_VALUE"""),"")</f>
        <v/>
      </c>
      <c r="J35" s="17" t="str">
        <f>IFERROR(__xludf.DUMMYFUNCTION("""COMPUTED_VALUE"""),"Важкість праці,Напруженість праці")</f>
        <v>Важкість праці,Напруженість праці</v>
      </c>
      <c r="K35" s="18">
        <f>IFERROR(__xludf.DUMMYFUNCTION("""COMPUTED_VALUE"""),43405.0)</f>
        <v>43405</v>
      </c>
      <c r="L35" s="18" t="str">
        <f>IFERROR(__xludf.DUMMYFUNCTION("""COMPUTED_VALUE"""),"")</f>
        <v/>
      </c>
    </row>
    <row r="36">
      <c r="A36" s="11">
        <f t="shared" si="1"/>
        <v>33</v>
      </c>
      <c r="B36" s="16" t="str">
        <f>IFERROR(__xludf.DUMMYFUNCTION("""COMPUTED_VALUE"""),"ТОВ ""ЕКО"" санітарно-промислова лабораторія")</f>
        <v>ТОВ "ЕКО" санітарно-промислова лабораторія</v>
      </c>
      <c r="C36" s="16" t="str">
        <f>IFERROR(__xludf.DUMMYFUNCTION("""COMPUTED_VALUE"""),"Київська")</f>
        <v>Київська</v>
      </c>
      <c r="D36" s="16" t="str">
        <f>IFERROR(__xludf.DUMMYFUNCTION("""COMPUTED_VALUE"""),"Київ")</f>
        <v>Київ</v>
      </c>
      <c r="E36" s="16" t="str">
        <f>IFERROR(__xludf.DUMMYFUNCTION("""COMPUTED_VALUE"""),"вул. Велика Васильківська, буд 13/1")</f>
        <v>вул. Велика Васильківська, буд 13/1</v>
      </c>
      <c r="F36" s="17" t="str">
        <f>IFERROR(__xludf.DUMMYFUNCTION("""COMPUTED_VALUE"""),"044-541-24-55    044-541-24-68       067-428-42-73    066-177-06-19")</f>
        <v>044-541-24-55    044-541-24-68       067-428-42-73    066-177-06-19</v>
      </c>
      <c r="G36" s="17" t="str">
        <f>IFERROR(__xludf.DUMMYFUNCTION("""COMPUTED_VALUE"""),"Вібрація загальна та локальна,Шум,Інфразвук,Неіонізуюче випромінювання,Іонізуюче випромінювання,Мікроклімат,Освітлення,Атмосферний тиск")</f>
        <v>Вібрація загальна та локальна,Шум,Інфразвук,Неіонізуюче випромінювання,Іонізуюче випромінювання,Мікроклімат,Освітлення,Атмосферний тиск</v>
      </c>
      <c r="H36" s="17" t="str">
        <f>IFERROR(__xludf.DUMMYFUNCTION("""COMPUTED_VALUE"""),"Азота диоксид,Азота оксид (IV) в перерарасчете на (NO2),Акрилонитрил,Акролеин,Акриламид,Алюминий и його сплавы,Алюминия  оксид в смеси со сплавом никеля до 15% (электрокорунд),Аммиак,Аммония хлорид,Ангидрид малеиновый,Ангидрид масляный,Ангидрид метакрилов"&amp;"ой кислоты,Ангидрид серный,Ангидрид сернистый,Ангидрид фосфорный,Ангидрид фталевый,Ангидрид хромовый,Анилин,Ацетон,Ацетальдегид,Бензин,Бензол,Бенз(а)пирен,Бром,Бутилацетат,Бутилметакрилат,Винилацетат,Винила хлорид,Водорода перекись,Водорода хлорид,Водород"&amp;"а цианид,Водород фтористий (в пересчете на F),Вольфрам, вольфрама карбид и силицид,Вольфрама сульфид и дисульфид,Гексахлорциклогексан+ (гексахлоран),Гексан,Гидразин и его производные,Глутаровый диальдегид,Диметилформамид,Дихлорэтан,Диэтиламин,м-диоксибенз"&amp;"ол (резорцин),Ди-(2-этилгексил)-фталат,Дибутилфталат,4,4-дифенилметандиизоцианат,Зола горючих сланцев,Изопрен,Йод,Электрокорунд, электрокорунд хромистый,Эпихлоргидрин,Этилакрилат,Этилцеллозольв (этиловый эфир этиленгликоля),Этиленгликоль,Этилацетат ,Этиле"&amp;"на оксид,1,1-этилен-2,2-дипиридилий дибромид+
          (дикват, реглон),Этилмеркаптан,Кальция гидрооксид,Кадмий и его неорганические соединения,Камфора,Капролактам ,Капрон,Карбамид (мочевина),Карбофос,Кислота азотная,Кислота борная,Кислота метакриловая,К"&amp;"ислота акриловая,Кислота муравьиная,Кислота уксусная,Керамика,Керосин,Кислота серная,Кислота себациновая,Кобальт и его неорганические соединения,Кобальта оксид,Ксилол (мета-,орто-, пара-),Медь,Марганца оксиды (в пересчете на MnO2) аэрозоль дезинтеграции,М"&amp;"арганца оксиды (в пересчете на MnO2) аэрозоль конденсации,Масла минеральные нефтяные,Метафос,Метилметакрилат,Метиловый эфир акриловой кислоты (метилакрилат),Натрия гидрокарбонат,Натрия хлорид,Никеля соли в виде гидроаэрозоля (по Ni),Никель, никеля оксиды,"&amp;" сульфиды и смеси соединений никеля (файнштейн, никелевый концентрат и агломерат, оборотная пыль очистных устройств (по Ni)
,Озон,Ртуть,Сероводород,Сероуглерод,Свинец и его неорганические соединения (по свинцу),Сода кальцинированная,Сольвент-нафта,Синтети"&amp;"ческие моющие средства „Лотос”,”Ера”,”Ока” ,Скипидар,Спирт бензиловый,Спирт н-бутиловый, бутиловый вторичный и третичный
,Спирт этиловий,Спирт метиловий,Спирт пропиловый,Спирт изобутиловый,Спирт изопропиловый,Стирол,Титан и его диоксид,Титан четыреххлорис"&amp;"тый,Тетраметилтиурамдисульфид,Тетрафтордибромэтан ,Тетрахлорэтилен,Трихлорэтилен,Толуол,Толуилендиизоцианат,Уайт-спирит (в пересчете на С),Углеводороды алифатические предельные,Углерода оксид,Углерод четыреххлористый,Фенол,Феррит бариевый,Феррит магниймар"&amp;"ганцевый,Феррит марганеццинковый,Феррит никельмедный,Феррит никельцинковый,Формальдегид,Фтористоводородной кислоты соли (по F):
 фториды натрия, калия, аммония, цинка, олова, серебра, лития и бария, криолит, гидрофторид аммония,Хлор,Хроматы, бихроматы,Хро"&amp;"ма оксид (по Cr+3),Цирконий,Циклогексан,Циклогексанон,Цинка оксид,Щелочи едкие (растворы в перерасчете на NaOH),Алюминия оксид с примесью свободного диоксида кремния до 15% и оксида железа до 10% ( в виде аерозоля конденсации),Алюминия оксид с примесью ди"&amp;"оксида кремния ( в виде аерозоля конденсации),Марганець в сварочном аэрозоле: (до 20% и 20-30%),Метилэтилкетон,Доломит,Известняк,Корунд белый,Кремния диоксид аморфный в виде аэрозоля конденсации при содержании: больше 60 %,Кремния диоксид аморфный в виде "&amp;"аэрозоля конденсации при содержании 60-10 %,Кремния диоксид аморфный в виде аэрозоля конденсации при содержании меньше 10 %,Кремния диоксид аморфный в виде аэрозоля дезинтеграции (диатомит, кварцевое стекло, плавленый кварц, трепел);,Кремния диоксид крист"&amp;"аллический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пр"&amp;"и содержании в пыле от 2 до 10 % (горючие кукерситные сланцы, медно сульфидные руды и др.),Кремния карбид (карборунд).,Поливинилхлорид,Полимеры и сополимеры на основе акриловых и метакриловых мономеров,Полипропилен,Полиэтилен,Чугун в смесе с електрокорунд"&amp;"ом до 20%,Зерновая,Мучная,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шерстяная,"&amp;"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цвет"&amp;"ной,Асбестобакелит,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ст"&amp;"еклообразной структуры,Цемент, оливин, апатит, форстерит, глина, шамот каолиновый,Цеолиты (природные и искусственные)
,Стеклопластик на основе полиэфирной смолы
,Коксы каменноугольный, пековый, нефтяной, сланцевый,Антрацит с содержанием свободного диоксид"&amp;"а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кг,Углер"&amp;"одные волокнистые материалы на основе гидрат целлюлозных волокон,Углеродные волокнистые материалы на основе гидрат полиакрилонитрильных волокон")</f>
        <v>Азота диоксид,Азота оксид (IV) в перерарасчете на (NO2),Акрилонитрил,Акролеин,Акриламид,Алюминий и його сплавы,Алюминия  оксид в смеси со сплавом никеля до 15% (электрокорунд),Аммиак,Аммония хлорид,Ангидрид малеиновый,Ангидрид масляный,Ангидрид метакриловой кислоты,Ангидрид серный,Ангидрид сернистый,Ангидрид фосфорный,Ангидрид фталевый,Ангидрид хромовый,Анилин,Ацетон,Ацетальдегид,Бензин,Бензол,Бенз(а)пирен,Бром,Бутилацетат,Бутилметакрилат,Винилацетат,Винила хлорид,Водорода перекись,Водорода хлорид,Водорода цианид,Водород фтористий (в пересчете на F),Вольфрам, вольфрама карбид и силицид,Вольфрама сульфид и дисульфид,Гексахлорциклогексан+ (гексахлоран),Гексан,Гидразин и его производные,Глутаровый диальдегид,Диметилформамид,Дихлорэтан,Диэтиламин,м-диоксибензол (резорцин),Ди-(2-этилгексил)-фталат,Дибутилфталат,4,4-дифенилметандиизоцианат,Зола горючих сланцев,Изопрен,Йод,Электрокорунд, электрокорунд хромистый,Эпихлоргидрин,Этилакрилат,Этилцеллозольв (этиловый эфир этиленгликоля),Этиленгликоль,Этилацетат ,Этилена оксид,1,1-этилен-2,2-дипиридилий дибромид+
          (дикват, реглон),Этилмеркаптан,Кальция гидрооксид,Кадмий и его неорганические соединения,Камфора,Капролактам ,Капрон,Карбамид (мочевина),Карбофос,Кислота азотная,Кислота борная,Кислота метакриловая,Кислота акриловая,Кислота муравьиная,Кислота уксусная,Керамика,Керосин,Кислота серная,Кислота себациновая,Кобальт и его неорганические соединения,Кобальта оксид,Ксилол (мета-,орто-, пара-),Медь,Марганца оксиды (в пересчете на MnO2) аэрозоль дезинтеграции,Марганца оксиды (в пересчете на MnO2) аэрозоль конденсации,Масла минеральные нефтяные,Метафос,Метилметакрилат,Метиловый эфир акриловой кислоты (метилакрилат),Натрия гидрокарбонат,Натрия хлорид,Никеля соли в виде гидроаэрозоля (по Ni),Никель, никеля оксиды, сульфиды и смеси соединений никеля (файнштейн, никелевый концентрат и агломерат, оборотная пыль очистных устройств (по Ni)
,Озон,Ртуть,Сероводород,Сероуглерод,Свинец и его неорганические соединения (по свинцу),Сода кальцинированная,Сольвент-нафта,Синтетические моющие средства „Лотос”,”Ера”,”Ока” ,Скипидар,Спирт бензиловый,Спирт н-бутиловый, бутиловый вторичный и третичный
,Спирт этиловий,Спирт метиловий,Спирт пропиловый,Спирт изобутиловый,Спирт изопропиловый,Стирол,Титан и его диоксид,Титан четыреххлористый,Тетраметилтиурамдисульфид,Тетрафтордибромэтан ,Тетрахлорэтилен,Трихлорэтилен,Толуол,Толуилендиизоцианат,Уайт-спирит (в пересчете на С),Углеводороды алифатические предельные,Углерода оксид,Углерод четыреххлористый,Фенол,Феррит бариевый,Феррит магниймарганцевый,Феррит марганеццинковый,Феррит никельмедный,Феррит никельцинковый,Формальдегид,Фтористоводородной кислоты соли (по F):
 фториды натрия, калия, аммония, цинка, олова, серебра, лития и бария, криолит, гидрофторид аммония,Хлор,Хроматы, бихроматы,Хрома оксид (по Cr+3),Цирконий,Циклогексан,Циклогексанон,Цинка оксид,Щелочи едкие (растворы в перерасчете на NaOH),Алюминия оксид с примесью свободного диоксида кремния до 15% и оксида железа до 10% ( в виде аерозоля конденсации),Алюминия оксид с примесью диоксида кремния ( в виде аерозоля конденсации),Марганець в сварочном аэрозоле: (до 20% и 20-30%),Метилэтилкетон,Доломит,Известняк,Корунд белый,Кремния диоксид аморфный в виде аэрозоля конденсации при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аморфный в виде аэрозоля дезинтеграции (диатомит, кварцевое стекло, плавленый кварц, трепел);,Кремния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др.),Кремния карбид (карборунд).,Поливинилхлорид,Полимеры и сополимеры на основе акриловых и метакриловых мономеров,Полипропилен,Полиэтилен,Чугун в смесе с електрокорундом до 20%,Зерновая,Мучная,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,Стеклопластик на основе полиэфирной смолы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v>
      </c>
      <c r="I36" s="17" t="str">
        <f>IFERROR(__xludf.DUMMYFUNCTION("""COMPUTED_VALUE"""),"")</f>
        <v/>
      </c>
      <c r="J36" s="17" t="str">
        <f>IFERROR(__xludf.DUMMYFUNCTION("""COMPUTED_VALUE"""),"Важкість праці,Напруженість праці")</f>
        <v>Важкість праці,Напруженість праці</v>
      </c>
      <c r="K36" s="18">
        <f>IFERROR(__xludf.DUMMYFUNCTION("""COMPUTED_VALUE"""),43403.0)</f>
        <v>43403</v>
      </c>
      <c r="L36" s="18" t="str">
        <f>IFERROR(__xludf.DUMMYFUNCTION("""COMPUTED_VALUE"""),"")</f>
        <v/>
      </c>
    </row>
    <row r="37">
      <c r="A37" s="11">
        <f t="shared" si="1"/>
        <v>34</v>
      </c>
      <c r="B37" s="16" t="str">
        <f>IFERROR(__xludf.DUMMYFUNCTION("""COMPUTED_VALUE"""),"Одеський відокремлений підрозділ ДУ ""Лабораторний центр на залізничному транспорті МОЗ України""")</f>
        <v>Одеський відокремлений підрозділ ДУ "Лабораторний центр на залізничному транспорті МОЗ України"</v>
      </c>
      <c r="C37" s="16" t="str">
        <f>IFERROR(__xludf.DUMMYFUNCTION("""COMPUTED_VALUE"""),"Одеська")</f>
        <v>Одеська</v>
      </c>
      <c r="D37" s="16" t="str">
        <f>IFERROR(__xludf.DUMMYFUNCTION("""COMPUTED_VALUE"""),"Одеса")</f>
        <v>Одеса</v>
      </c>
      <c r="E37" s="16" t="str">
        <f>IFERROR(__xludf.DUMMYFUNCTION("""COMPUTED_VALUE"""),"вул. В. Арнаутська, 81")</f>
        <v>вул. В. Арнаутська, 81</v>
      </c>
      <c r="F37" s="17" t="str">
        <f>IFERROR(__xludf.DUMMYFUNCTION("""COMPUTED_VALUE"""),"048-727-48-28")</f>
        <v>048-727-48-28</v>
      </c>
      <c r="G37" s="17" t="str">
        <f>IFERROR(__xludf.DUMMYFUNCTION("""COMPUTED_VALUE"""),"Вібрація загальна та локальна,Шум,Мікроклімат,Освітлення,Атмосферний тиск")</f>
        <v>Вібрація загальна та локальна,Шум,Мікроклімат,Освітлення,Атмосферний тиск</v>
      </c>
      <c r="H37" s="17" t="str">
        <f>IFERROR(__xludf.DUMMYFUNCTION("""COMPUTED_VALUE"""),"Азота диоксид,Азота оксид (IV) в перерарасчете на (NO2),Аммиак,Ангидрид сернистый,Ангидрид хромовый,Ацетон,Водорода хлорид,Водород фтористий (в пересчете на F),Эпихлоргидрин,Капролактам ,Кислота серная,Медь,Масла минеральные нефтяные,Никеля соли в виде ги"&amp;"дроаэрозоля (по Ni),Озон,Свинец и его неорганические соединения (по свинцу),Тетраэтилсвинец,Углерода оксид,Формальдегид,Хрома оксид (по Cr+3),Цинка оксид,Щелочи едкие (растворы в перерасчете на NaOH),Алюминия оксид с примесью свободного диоксида кремния д"&amp;"о 15% и оксида железа до 10% ( в виде аерозоля конденсации),Марганець в сварочном аэрозоле: (до 20% и 20-30%),Кремния диоксид аморфный в виде аэрозоля конденсации при содержании: больше 60 %,Кремния диоксид аморфный в виде аэрозоля конденсации при содержа"&amp;"нии 60-10 %,Кремния диоксид аморфный в виде аэрозоля конденсации при содержании меньше 10 %,Кремния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содержа"&amp;"нии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др.),Кремния карбид (карборунд).,Зерновая,Мучная, древес"&amp;"ная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диокси"&amp;"да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асбесторезина"&amp;",Цемент, оливин, апатит, форстерит, глина, шамот каолиновый,Коксы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до"&amp;" 5%, от 5% до 10%,Алмаз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f>
        <v>Азота диоксид,Азота оксид (IV) в перерарасчете на (NO2),Аммиак,Ангидрид сернистый,Ангидрид хромовый,Ацетон,Водорода хлорид,Водород фтористий (в пересчете на F),Эпихлоргидрин,Капролактам ,Кислота серная,Медь,Масла минеральные нефтяные,Никеля соли в виде гидроаэрозоля (по Ni),Озон,Свинец и его неорганические соединения (по свинцу),Тетраэтилсвинец,Углерода оксид,Формальдегид,Хрома оксид (по Cr+3),Цинка оксид,Щелочи едкие (растворы в перерасчете на NaOH),Алюминия оксид с примесью свободного диоксида кремния до 15% и оксида железа до 10% ( в виде аерозоля конденсации),Марганець в сварочном аэрозоле: (до 20% и 20-30%),Кремния диоксид аморфный в виде аэрозоля конденсации при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др.),Кремния карбид (карборунд).,Зерновая,Мучная,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асбесторезина,Цемент, оливин, апатит, форстерит, глина, шамот каолиновый,Коксы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v>
      </c>
      <c r="I37" s="17" t="str">
        <f>IFERROR(__xludf.DUMMYFUNCTION("""COMPUTED_VALUE"""),"")</f>
        <v/>
      </c>
      <c r="J37" s="17" t="str">
        <f>IFERROR(__xludf.DUMMYFUNCTION("""COMPUTED_VALUE"""),"Важкість праці,Напруженість праці")</f>
        <v>Важкість праці,Напруженість праці</v>
      </c>
      <c r="K37" s="18">
        <f>IFERROR(__xludf.DUMMYFUNCTION("""COMPUTED_VALUE"""),43416.0)</f>
        <v>43416</v>
      </c>
      <c r="L37" s="18" t="str">
        <f>IFERROR(__xludf.DUMMYFUNCTION("""COMPUTED_VALUE"""),"")</f>
        <v/>
      </c>
    </row>
    <row r="38">
      <c r="A38" s="11">
        <f t="shared" si="1"/>
        <v>35</v>
      </c>
      <c r="B38" s="16" t="str">
        <f>IFERROR(__xludf.DUMMYFUNCTION("""COMPUTED_VALUE"""),"ДП ""Східний гірничо-збагачувальний комбінат""")</f>
        <v>ДП "Східний гірничо-збагачувальний комбінат"</v>
      </c>
      <c r="C38" s="16" t="str">
        <f>IFERROR(__xludf.DUMMYFUNCTION("""COMPUTED_VALUE"""),"Дніпропетровська")</f>
        <v>Дніпропетровська</v>
      </c>
      <c r="D38" s="16" t="str">
        <f>IFERROR(__xludf.DUMMYFUNCTION("""COMPUTED_VALUE"""),"м. Жовті води")</f>
        <v>м. Жовті води</v>
      </c>
      <c r="E38" s="16" t="str">
        <f>IFERROR(__xludf.DUMMYFUNCTION("""COMPUTED_VALUE"""),"вул. Залізнична, 13")</f>
        <v>вул. Залізнична, 13</v>
      </c>
      <c r="F38" s="17" t="str">
        <f>IFERROR(__xludf.DUMMYFUNCTION("""COMPUTED_VALUE"""),"05652-9-59-14      050-481-49-72")</f>
        <v>05652-9-59-14      050-481-49-72</v>
      </c>
      <c r="G38" s="17" t="str">
        <f>IFERROR(__xludf.DUMMYFUNCTION("""COMPUTED_VALUE"""),"Вібрація загальна та локальна,Шум,Іонізуюче випромінювання,Мікроклімат,Освітлення,Атмосферний тиск")</f>
        <v>Вібрація загальна та локальна,Шум,Іонізуюче випромінювання,Мікроклімат,Освітлення,Атмосферний тиск</v>
      </c>
      <c r="H38" s="17" t="str">
        <f>IFERROR(__xludf.DUMMYFUNCTION("""COMPUTED_VALUE"""),"Азота диоксид,Аммиак,Ангидрид сернистый,Ванадий и его соединения,Водорода хлорид,Электрокорунд, электрокорунд хромистый,Кислота серная,Масла минеральные нефтяные,Сера элементарная,Сероводород,Свинец и его неорганические соединения (по свинцу),Углерода окс"&amp;"ид,Уран и его неорганические соединения по свинцу,Хлор,Хроматы, бихроматы,Хрома оксид (по Cr+3),Щелочи едкие (растворы в перерасчете на NaOH),Марганець в сварочном аэрозоле: (до 20% и 20-30%),Кремния диоксид аморфный в виде аэрозоля конденсации при содерж"&amp;"ании меньше 10 %,Кремния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д"&amp;"р.),Кремния диоксид кристаллический при содержании в пыле от 2 до 10 % (горючие кукерситные сланцы, медно сульфидные руды и др.),Зерновая,Мучная, древесная и др. (с примесью диоксида кремния меньше 2 %),Лубяная, хлопчато-бумажная, хлопковая, льняная, шерс"&amp;"тяная,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10 %),Силикатсодержащие пыли, силикаты, алюмосиликаты при содержании асбеста менее 1"&amp;"0%; асбестоцемент,Силикатсодержащие пыли, силикаты, алюмосиликаты при содержанииасбеста от 10 до 20%
,Силикатсодержащие пыли, силикаты, алюмосиликаты асбесты природные (хризолит, актофиллит, эктинолит, тремолит, магнезиарфведсонит) и синтетическиеасбесты,"&amp;" а такжесмешанныеасбестопородныепыли при содержании в них асбестаболее 20%;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10 %,Асбестоцемент"&amp;"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кремния,Цемент, оливин, апатит, форстерит, глина, шам"&amp;"от каолиновый,Цеолиты (природные и искусственные)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5"&amp;"%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гид"&amp;"рат полиакрилонитрильных волокон")</f>
        <v>Азота диоксид,Аммиак,Ангидрид сернистый,Ванадий и его соединения,Водорода хлорид,Электрокорунд, электрокорунд хромистый,Кислота серная,Масла минеральные нефтяные,Сера элементарная,Сероводород,Свинец и его неорганические соединения (по свинцу),Углерода оксид,Уран и его неорганические соединения по свинцу,Хлор,Хроматы, бихроматы,Хрома оксид (по Cr+3),Щелочи едкие (растворы в перерасчете на NaOH),Марганець в сварочном аэрозоле: (до 20% и 20-30%),Кремния диоксид аморфный в виде аэрозоля конденсации при содержании меньше 10 %,Кремния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10 %),Силикатсодержащие пыли, силикаты, алюмосиликаты при содержании асбеста менее 10%; асбестоцемент,Силикатсодержащие пыли, силикаты, алюмосиликаты при содержанииасбеста от 10 до 20%
,Силикатсодержащие пыли, силикаты, алюмосиликаты асбесты природные (хризолит, актофиллит, эктинолит, тремолит, магнезиарфведсонит) и синтетическиеасбесты, а такжесмешанныеасбестопородныепыли при содержании в них асбестаболее 20%;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кремния,Цемент, оливин, апатит, форстерит, глина, шамот каолиновый,Цеолиты (природные и искусственные)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v>
      </c>
      <c r="I38" s="17" t="str">
        <f>IFERROR(__xludf.DUMMYFUNCTION("""COMPUTED_VALUE"""),"")</f>
        <v/>
      </c>
      <c r="J38" s="17" t="str">
        <f>IFERROR(__xludf.DUMMYFUNCTION("""COMPUTED_VALUE"""),"Важкість праці,Напруженість праці")</f>
        <v>Важкість праці,Напруженість праці</v>
      </c>
      <c r="K38" s="18">
        <f>IFERROR(__xludf.DUMMYFUNCTION("""COMPUTED_VALUE"""),43404.0)</f>
        <v>43404</v>
      </c>
      <c r="L38" s="18" t="str">
        <f>IFERROR(__xludf.DUMMYFUNCTION("""COMPUTED_VALUE"""),"")</f>
        <v/>
      </c>
    </row>
    <row r="39">
      <c r="A39" s="11">
        <f t="shared" si="1"/>
        <v>36</v>
      </c>
      <c r="B39" s="16" t="str">
        <f>IFERROR(__xludf.DUMMYFUNCTION("""COMPUTED_VALUE"""),"ДУ ""Хмельницький обласний лабораторний центр МОЗ України""")</f>
        <v>ДУ "Хмельницький обласний лабораторний центр МОЗ України"</v>
      </c>
      <c r="C39" s="16" t="str">
        <f>IFERROR(__xludf.DUMMYFUNCTION("""COMPUTED_VALUE"""),"Хмельницька")</f>
        <v>Хмельницька</v>
      </c>
      <c r="D39" s="16" t="str">
        <f>IFERROR(__xludf.DUMMYFUNCTION("""COMPUTED_VALUE"""),"Хмельницький")</f>
        <v>Хмельницький</v>
      </c>
      <c r="E39" s="16" t="str">
        <f>IFERROR(__xludf.DUMMYFUNCTION("""COMPUTED_VALUE"""),"вул. Пилипчука, 55")</f>
        <v>вул. Пилипчука, 55</v>
      </c>
      <c r="F39" s="17" t="str">
        <f>IFERROR(__xludf.DUMMYFUNCTION("""COMPUTED_VALUE"""),"0382-63-08-98   0382-79-57-31")</f>
        <v>0382-63-08-98   0382-79-57-31</v>
      </c>
      <c r="G39" s="17" t="str">
        <f>IFERROR(__xludf.DUMMYFUNCTION("""COMPUTED_VALUE"""),"Вібрація загальна та локальна,Шум,Неіонізуюче випромінювання,Мікроклімат,Освітлення,Атмосферний тиск")</f>
        <v>Вібрація загальна та локальна,Шум,Неіонізуюче випромінювання,Мікроклімат,Освітлення,Атмосферний тиск</v>
      </c>
      <c r="H39" s="17" t="str">
        <f>IFERROR(__xludf.DUMMYFUNCTION("""COMPUTED_VALUE"""),"Азота диоксид,Азота оксид (IV) в перерарасчете на (NO2),Акролеин,Алюминий и його сплавы,Алюминия  оксид в смеси со сплавом никеля до 15% (электрокорунд),Аммиак,Ангидрид сернистый,Ангидрид фосфорный,Ангидрид хромовый,Анилин,Ацетон,Ацетальдегид,Бензин,Бензо"&amp;"л,Бутан,Бутилацетат,Водорода хлорид,Водорода цианид,Водород фтористий (в пересчете на F),Гексан,Дибутилфталат,Диэтиловый эфир,Этиленгликоль,Этилбензол,Этилацетат ,Этилена оксид,Кислота уксусная,Кислота серная,Лавсан,Ксилол (мета-,орто-, пара-),Медь,Масла "&amp;"минеральные нефтяные,Метилметакрилат,Никель, никеля оксиды, сульфиды и смеси соединений никеля (файнштейн, никелевый концентрат и агломерат, оборотная пыль очистных устройств (по Ni)
,Озон,Ртуть,Сера элементарная,Сероводород,Свинец и его неорганические со"&amp;"единения (по свинцу),Сольвент-нафта,Спирт н-бутиловый, бутиловый вторичный и третичный
,Спирт этиловий,Спирт метиловий,Спирт пропиловый,Спирт изобутиловый,Спирт изопропиловый,Стирол,Титан и его диоксид,Тетрахлорэтилен,Тетраэтилсвинец,Толуол,Уайт-спирит (в"&amp;" пересчете на С),Углеводороды алифатические предельные,Углерода оксид,Фенол,Формальдегид,Фенопласты,Фтористоводородной кислоты соли (по F):
 фториды натрия, калия, аммония, цинка, олова, серебра, лития и бария, криолит, гидрофторид аммония,Хлор,Хрома окси"&amp;"д (по Cr+3),Цинка оксид,Щелочи едкие (растворы в перерасчете на NaOH),Марганець в сварочном аэрозоле: (до 20% и 20-30%),Кремния диоксид аморфный в виде аэрозоля конденсации при содержании: больше 60 %,Кремния диоксид кристаллический при содержании в пыле "&amp;"от 10 до 70 % (гранит, шамот, слюда-сирец, углепородная пыль и др.),Кремния карбид (карборунд).,Поливинилхлорид,Полимеры и сополимеры на основе акриловых и метакриловых мономеров,Полипропилен,Полиэтилен,Чугун в смесе с електрокорундом до 20%,Зерновая,Мучн"&amp;"ая,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приме"&amp;"сью диоксида кремния от 2 до 10 %),Силикатсодержащие пыли, силикаты, алюмосиликаты при содержании асбеста менее 10%; асбестоцемент,Силикатсодержащие пыли, силикаты, алюмосиликаты при содержанииасбеста от 10 до 20%
,Силикатсодержащие пыли, силикаты, алюмос"&amp;"иликаты асбесты природные (хризолит, актофиллит, эктинолит, тремолит, магнезиарфведсонит) и синтетическиеасбесты, а такжесмешанныеасбестопородныепыли при содержании в них асбестаболее 20%;
,Асбест природный и исскуственный, смешанные асбестопородные пыли"&amp;"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тальк"&amp;",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,Кок"&amp;"сы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металл"&amp;"изированый,Сажи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волокон,Бензотіадиазони,Дитіо"&amp;"карбамати,Фосфорорганічні,Синтетичні піретроїди,Похідні оксатиіна,Сим-триазини,Триазоли")</f>
        <v>Азота диоксид,Азота оксид (IV) в перерарасчете на (NO2),Акролеин,Алюминий и його сплавы,Алюминия  оксид в смеси со сплавом никеля до 15% (электрокорунд),Аммиак,Ангидрид сернистый,Ангидрид фосфорный,Ангидрид хромовый,Анилин,Ацетон,Ацетальдегид,Бензин,Бензол,Бутан,Бутилацетат,Водорода хлорид,Водорода цианид,Водород фтористий (в пересчете на F),Гексан,Дибутилфталат,Диэтиловый эфир,Этиленгликоль,Этилбензол,Этилацетат ,Этилена оксид,Кислота уксусная,Кислота серная,Лавсан,Ксилол (мета-,орто-, пара-),Медь,Масла минеральные нефтяные,Метилметакрилат,Никель, никеля оксиды, сульфиды и смеси соединений никеля (файнштейн, никелевый концентрат и агломерат, оборотная пыль очистных устройств (по Ni)
,Озон,Ртуть,Сера элементарная,Сероводород,Свинец и его неорганические соединения (по свинцу),Сольвент-нафта,Спирт н-бутиловый, бутиловый вторичный и третичный
,Спирт этиловий,Спирт метиловий,Спирт пропиловый,Спирт изобутиловый,Спирт изопропиловый,Стирол,Титан и его диоксид,Тетрахлорэтилен,Тетраэтилсвинец,Толуол,Уайт-спирит (в пересчете на С),Углеводороды алифатические предельные,Углерода оксид,Фенол,Формальдегид,Фенопласты,Фтористоводородной кислоты соли (по F):
 фториды натрия, калия, аммония, цинка, олова, серебра, лития и бария, криолит, гидрофторид аммония,Хлор,Хрома оксид (по Cr+3),Цинка оксид,Щелочи едкие (растворы в перерасчете на NaOH),Марганець в сварочном аэрозоле: (до 20% и 20-30%),Кремния диоксид аморфный в виде аэрозоля конденсации при содержании: больше 60 %,Кремния диоксид кристаллический при содержании в пыле от 10 до 70 % (гранит, шамот, слюда-сирец, углепородная пыль и др.),Кремния карбид (карборунд).,Поливинилхлорид,Полимеры и сополимеры на основе акриловых и метакриловых мономеров,Полипропилен,Полиэтилен,Чугун в смесе с електрокорундом до 20%,Зерновая,Мучная,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10 %),Силикатсодержащие пыли, силикаты, алюмосиликаты при содержании асбеста менее 10%; асбестоцемент,Силикатсодержащие пыли, силикаты, алюмосиликаты при содержанииасбеста от 10 до 20%
,Силикатсодержащие пыли, силикаты, алюмосиликаты асбесты природные (хризолит, актофиллит, эктинолит, тремолит, магнезиарфведсонит) и синтетическиеасбесты, а такжесмешанныеасбестопородныепыли при содержании в них асбестаболее 20%;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волокон,Бензотіадиазони,Дитіокарбамати,Фосфорорганічні,Синтетичні піретроїди,Похідні оксатиіна,Сим-триазини,Триазоли</v>
      </c>
      <c r="I39" s="17" t="str">
        <f>IFERROR(__xludf.DUMMYFUNCTION("""COMPUTED_VALUE"""),"")</f>
        <v/>
      </c>
      <c r="J39" s="17" t="str">
        <f>IFERROR(__xludf.DUMMYFUNCTION("""COMPUTED_VALUE"""),"Важкість праці,Напруженість праці")</f>
        <v>Важкість праці,Напруженість праці</v>
      </c>
      <c r="K39" s="18">
        <f>IFERROR(__xludf.DUMMYFUNCTION("""COMPUTED_VALUE"""),43405.0)</f>
        <v>43405</v>
      </c>
      <c r="L39" s="18" t="str">
        <f>IFERROR(__xludf.DUMMYFUNCTION("""COMPUTED_VALUE"""),"")</f>
        <v/>
      </c>
    </row>
    <row r="40">
      <c r="A40" s="11">
        <f t="shared" si="1"/>
        <v>37</v>
      </c>
      <c r="B40" s="16" t="str">
        <f>IFERROR(__xludf.DUMMYFUNCTION("""COMPUTED_VALUE"""),"ДП ""Волинський експертно-технічний центр Держпраці""")</f>
        <v>ДП "Волинський експертно-технічний центр Держпраці"</v>
      </c>
      <c r="C40" s="16" t="str">
        <f>IFERROR(__xludf.DUMMYFUNCTION("""COMPUTED_VALUE"""),"Волинська")</f>
        <v>Волинська</v>
      </c>
      <c r="D40" s="16" t="str">
        <f>IFERROR(__xludf.DUMMYFUNCTION("""COMPUTED_VALUE"""),"Луцьк")</f>
        <v>Луцьк</v>
      </c>
      <c r="E40" s="16" t="str">
        <f>IFERROR(__xludf.DUMMYFUNCTION("""COMPUTED_VALUE"""),"вул. Кравчука, 22 В")</f>
        <v>вул. Кравчука, 22 В</v>
      </c>
      <c r="F40" s="17" t="str">
        <f>IFERROR(__xludf.DUMMYFUNCTION("""COMPUTED_VALUE"""),"0332-28-49-69")</f>
        <v>0332-28-49-69</v>
      </c>
      <c r="G40" s="17" t="str">
        <f>IFERROR(__xludf.DUMMYFUNCTION("""COMPUTED_VALUE"""),"Вібрація загальна та локальна,Шум,Мікроклімат,Освітлення,Атмосферний тиск")</f>
        <v>Вібрація загальна та локальна,Шум,Мікроклімат,Освітлення,Атмосферний тиск</v>
      </c>
      <c r="H40" s="17" t="str">
        <f>IFERROR(__xludf.DUMMYFUNCTION("""COMPUTED_VALUE"""),"Азота диоксид,Азота оксид (IV) в перерарасчете на (NO2),Аммиак,Ангидрид сернистый,Ацетон,Бензин,Бензол,Бутилацетат,Водорода хлорид,Гексан,Зола горючих сланцев,Изобутилен,Электрокорунд, электрокорунд хромистый,Этилен,Этилацетат ,Этилена оксид,Керосин,Кисло"&amp;"та серная,Ксилол (мета-,орто-, пара-),Медь,Масла минеральные нефтяные,Нефть,Озон,Сероводород,Свинец и его неорганические соединения (по свинцу),Синтетические моющие средства „Лотос”,”Ера”,”Ока” ,Спирт этиловий,Стирол,Толуол,Углеводороды алифатические пред"&amp;"ельные,Углерода оксид,Фенол,Формальдегид,Хлор,Хроматы, бихроматы,Щелочи едкие (растворы в перерасчете на NaOH),Марганець в сварочном аэрозоле: (до 20% и 20-30%),Известняк,Чугун в смесе с електрокорундом до 20%,Зерновая,Мучная, древесная и др. (с примесью "&amp;"диоксида кремния меньше 2 %),Лубяная, хлопчато-бумажная, хлопковая, льняная, шерстяная, пуховая и др. (с примесью диоксида кремния более 10%),Асбест природный и исскуственный, смешанные асбестопородные пыли при содержании в них асбеста больше 10 %,Асбесто"&amp;"породные пыли при содержании в них асбеста до 10 %,Асбестоцемент неокрашенный и цветной,Асбестобакелит, асбесторезина,Слюды, тальк, талькопородные пыли содержащие до 10% свободного диоксида кремния,Искусственные минеральные волокна силикатные и алюмосилик"&amp;"атные стеклообразной структуры,Цемент, оливин, апатит, форстерит, глина, шамот каолиновый,Коксы каменноугольный, пековый, нефтяной, сланцевый,Антрацит с содержанием свободного диоксида кремния до 5 %,Сажи черные промышленные с содержанием бензапирена не б"&amp;"олее 35 мг на 1 кг,Углеродные волокнистые материалы на основе гидрат полиакрилонитрильных волокон")</f>
        <v>Азота диоксид,Азота оксид (IV) в перерарасчете на (NO2),Аммиак,Ангидрид сернистый,Ацетон,Бензин,Бензол,Бутилацетат,Водорода хлорид,Гексан,Зола горючих сланцев,Изобутилен,Электрокорунд, электрокорунд хромистый,Этилен,Этилацетат ,Этилена оксид,Керосин,Кислота серная,Ксилол (мета-,орто-, пара-),Медь,Масла минеральные нефтяные,Нефть,Озон,Сероводород,Свинец и его неорганические соединения (по свинцу),Синтетические моющие средства „Лотос”,”Ера”,”Ока” ,Спирт этиловий,Стирол,Толуол,Углеводороды алифатические предельные,Углерода оксид,Фенол,Формальдегид,Хлор,Хроматы, бихроматы,Щелочи едкие (растворы в перерасчете на NaOH),Марганець в сварочном аэрозоле: (до 20% и 20-30%),Известняк,Чугун в смесе с електрокорундом до 20%,Зерновая,Мучная,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каолиновый,Коксы каменноугольный, пековый, нефтяной, сланцевый,Антрацит с содержанием свободного диоксида кремния до 5 %,Сажи черные промышленные с содержанием бензапирена не более 35 мг на 1 кг,Углеродные волокнистые материалы на основе гидрат полиакрилонитрильных волокон</v>
      </c>
      <c r="I40" s="17" t="str">
        <f>IFERROR(__xludf.DUMMYFUNCTION("""COMPUTED_VALUE"""),"")</f>
        <v/>
      </c>
      <c r="J40" s="17" t="str">
        <f>IFERROR(__xludf.DUMMYFUNCTION("""COMPUTED_VALUE"""),"Важкість праці,Напруженість праці")</f>
        <v>Важкість праці,Напруженість праці</v>
      </c>
      <c r="K40" s="18">
        <f>IFERROR(__xludf.DUMMYFUNCTION("""COMPUTED_VALUE"""),43418.0)</f>
        <v>43418</v>
      </c>
      <c r="L40" s="18" t="str">
        <f>IFERROR(__xludf.DUMMYFUNCTION("""COMPUTED_VALUE"""),"")</f>
        <v/>
      </c>
    </row>
    <row r="41">
      <c r="A41" s="11">
        <f t="shared" si="1"/>
        <v>38</v>
      </c>
      <c r="B41" s="16" t="str">
        <f>IFERROR(__xludf.DUMMYFUNCTION("""COMPUTED_VALUE"""),"ДУ ""Сумський обласний лабораторний центр МОЗ України""")</f>
        <v>ДУ "Сумський обласний лабораторний центр МОЗ України"</v>
      </c>
      <c r="C41" s="16" t="str">
        <f>IFERROR(__xludf.DUMMYFUNCTION("""COMPUTED_VALUE"""),"Сумська")</f>
        <v>Сумська</v>
      </c>
      <c r="D41" s="16" t="str">
        <f>IFERROR(__xludf.DUMMYFUNCTION("""COMPUTED_VALUE"""),"Суми")</f>
        <v>Суми</v>
      </c>
      <c r="E41" s="16" t="str">
        <f>IFERROR(__xludf.DUMMYFUNCTION("""COMPUTED_VALUE"""),"вул. Привокзальна, 27")</f>
        <v>вул. Привокзальна, 27</v>
      </c>
      <c r="F41" s="17" t="str">
        <f>IFERROR(__xludf.DUMMYFUNCTION("""COMPUTED_VALUE"""),"0542-65-78-86")</f>
        <v>0542-65-78-86</v>
      </c>
      <c r="G41" s="17" t="str">
        <f>IFERROR(__xludf.DUMMYFUNCTION("""COMPUTED_VALUE"""),"Вібрація загальна та локальна,Шум,Неіонізуюче випромінювання,Іонізуюче випромінювання,Мікроклімат,Освітлення")</f>
        <v>Вібрація загальна та локальна,Шум,Неіонізуюче випромінювання,Іонізуюче випромінювання,Мікроклімат,Освітлення</v>
      </c>
      <c r="H41" s="17" t="str">
        <f>IFERROR(__xludf.DUMMYFUNCTION("""COMPUTED_VALUE"""),"Азота диоксид,Азота оксид (IV) в перерарасчете на (NO2),Акрилонитрил,Акролеин,Алюминий и його сплавы,Алюминия  оксид в смеси со сплавом никеля до 15% (электрокорунд),Амилацетат,Аммиак,Ангидрид малеиновый,Ангидрид сернистый,Ангидрид фосфорный,Ангидрид хром"&amp;"овый,Анилин,Ацетон,Ацетальдегид,Бензин,Бензол,Бутилацетат,Водорода хлорид,Водород фтористий (в пересчете на F),Дибутилфталат,Дихлорбензол,Дихлорэтан,Диэтиленгликоль,Электрокорунд, электрокорунд хромистый,Эпихлоргидрин,Этилцеллозольв (этиловый эфир этиленг"&amp;"ликоля),Этилендиамин,Этиленгликоль,Этилацетат ,Этилена оксид,Этилмеркаптан,Кадмий и его неорганические соединения,Капролактам ,Кислота метакриловая,Кислота уксусная,Керосин,Кислота серная,Ксилол (мета-,орто-, пара-),Медь,Марганца оксиды (в пересчете на Mn"&amp;"O2) аэрозоль дезинтеграции,Марганца оксиды (в пересчете на MnO2) аэрозоль конденсации,Масла минеральные нефтяные,Моноэтаноламин,Метилметакрилат,Метилмеркаптан,Натрия хлорид,Никеля соли в виде гидроаэрозоля (по Ni),Никель, никеля оксиды, сульфиды и смеси с"&amp;"оединений никеля (файнштейн, никелевый концентрат и агломерат, оборотная пыль очистных устройств (по Ni)
,Озон,Ртуть,Селен,Селена диоксид,Сероводород,Сероуглерод,Свинец и его неорганические соединения (по свинцу),Скипидар,Спирт н-бутиловый, бутиловый втор"&amp;"ичный и третичный
,Спирт этиловий,Спирт метиловий,Спирт пропиловый,Спирт изобутиловый,Спирт изопропиловый,Стирол,Титан и его диоксид,Тетрахлорэтилен,Тетраэтилсвинец,Трихлорэтилен,Толуол,Уайт-спирит (в пересчете на С),Углеводороды алифатические предельные,"&amp;"Углерода оксид,Углерод четыреххлористый,Фенол,Формальдегид,Хлор,Хрома оксид (по Cr+3),Цирконий,Цинка оксид,Щелочи едкие (растворы в перерасчете на NaOH),Алюминия оксид с примесью диоксида кремния ( в виде аерозоля конденсации),Кобальт ,Марганець в сварочн"&amp;"ом аэрозоле: (до 20% и 20-30%),Алюминия оксид с примесью свободного диоксида кремния до 15% и оксида железа до 10% ( в виде аэрозоля конденсации),Алюминия оксид в виде аэрозоля дезинтеграции (глинозем, электрокорунд, монокорунд),Известняк,Корунд белый,Кал"&amp;"ьция оксид,Кремния диоксид аморфный в виде аэрозоля конденсации при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10 %,Кремния"&amp;" диоксид аморфный в виде аэрозоля дезинтеграции (диатомит, кварцевое стекло, плавленый кварц, трепел);,Кремния диоксид кристаллический (кварц, кристобелит, тридимит) при содержании в пыли больше 70% (кварцит, динас и др.);,Кремния диоксид кристаллический "&amp;"при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др.),Кремния карбид (карборунд).,Кремния  нит"&amp;"рид,Кремния тетраборид,Полипропилен,Полиэтилен,Чугун в смесе с електрокорундом до 20%,Шамотнографитовые огнеупоры,Зерновая,Мучная, древесная и др. (с примесью диоксида кремния меньше 2 %),Лубяная, хлопчато-бумажная, хлопковая, льняная, шерстяная, пуховая "&amp;"и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асбеста"&amp;"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содержа"&amp;"щие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"&amp;"нефтяной,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промыш"&amp;"ленные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f>
        <v>Азота диоксид,Азота оксид (IV) в перерарасчете на (NO2),Акрилонитрил,Акролеин,Алюминий и його сплавы,Алюминия  оксид в смеси со сплавом никеля до 15% (электрокорунд),Амилацетат,Аммиак,Ангидрид малеиновый,Ангидрид сернистый,Ангидрид фосфорный,Ангидрид хромовый,Анилин,Ацетон,Ацетальдегид,Бензин,Бензол,Бутилацетат,Водорода хлорид,Водород фтористий (в пересчете на F),Дибутилфталат,Дихлорбензол,Дихлорэтан,Диэтиленгликоль,Электрокорунд, электрокорунд хромистый,Эпихлоргидрин,Этилцеллозольв (этиловый эфир этиленгликоля),Этилендиамин,Этиленгликоль,Этилацетат ,Этилена оксид,Этилмеркаптан,Кадмий и его неорганические соединения,Капролактам ,Кислота метакриловая,Кислота уксусная,Керосин,Кислота серная,Ксилол (мета-,орто-, пара-),Медь,Марганца оксиды (в пересчете на MnO2) аэрозоль дезинтеграции,Марганца оксиды (в пересчете на MnO2) аэрозоль конденсации,Масла минеральные нефтяные,Моноэтаноламин,Метилметакрилат,Метилмеркаптан,Натрия хлорид,Никеля соли в виде гидроаэрозоля (по Ni),Никель, никеля оксиды, сульфиды и смеси соединений никеля (файнштейн, никелевый концентрат и агломерат, оборотная пыль очистных устройств (по Ni)
,Озон,Ртуть,Селен,Селена диоксид,Сероводород,Сероуглерод,Свинец и его неорганические соединения (по свинцу),Скипидар,Спирт н-бутиловый, бутиловый вторичный и третичный
,Спирт этиловий,Спирт метиловий,Спирт пропиловый,Спирт изобутиловый,Спирт изопропиловый,Стирол,Титан и его диоксид,Тетрахлорэтилен,Тетраэтилсвинец,Трихлорэтилен,Толуол,Уайт-спирит (в пересчете на С),Углеводороды алифатические предельные,Углерода оксид,Углерод четыреххлористый,Фенол,Формальдегид,Хлор,Хрома оксид (по Cr+3),Цирконий,Цинка оксид,Щелочи едкие (растворы в перерасчете на NaOH),Алюминия оксид с примесью диоксида кремния ( в виде аерозоля конденсации),Кобальт ,Марганець в сварочном аэрозоле: (до 20% и 20-30%),Алюминия оксид с примесью свободного диоксида кремния до 15% и оксида железа до 10% ( в виде аэрозоля конденсации),Алюминия оксид в виде аэрозоля дезинтеграции (глинозем, электрокорунд, монокорунд),Известняк,Корунд белый,Кальция оксид,Кремния диоксид аморфный в виде аэрозоля конденсации при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аморфный в виде аэрозоля дезинтеграции (диатомит, кварцевое стекло, плавленый кварц, трепел);,Кремния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др.),Кремния карбид (карборунд).,Кремния  нитрид,Кремния тетраборид,Полипропилен,Полиэтилен,Чугун в смесе с електрокорундом до 20%,Шамотнографитовые огнеупоры,Зерновая,Мучная,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v>
      </c>
      <c r="I41" s="17" t="str">
        <f>IFERROR(__xludf.DUMMYFUNCTION("""COMPUTED_VALUE"""),"")</f>
        <v/>
      </c>
      <c r="J41" s="17" t="str">
        <f>IFERROR(__xludf.DUMMYFUNCTION("""COMPUTED_VALUE"""),"Важкість праці,Напруженість праці")</f>
        <v>Важкість праці,Напруженість праці</v>
      </c>
      <c r="K41" s="18">
        <f>IFERROR(__xludf.DUMMYFUNCTION("""COMPUTED_VALUE"""),43411.0)</f>
        <v>43411</v>
      </c>
      <c r="L41" s="18" t="str">
        <f>IFERROR(__xludf.DUMMYFUNCTION("""COMPUTED_VALUE"""),"")</f>
        <v/>
      </c>
    </row>
    <row r="42">
      <c r="A42" s="11">
        <f t="shared" si="1"/>
        <v>39</v>
      </c>
      <c r="B42" s="16" t="str">
        <f>IFERROR(__xludf.DUMMYFUNCTION("""COMPUTED_VALUE"""),"Дніпропетровський ВП ДУ ""Лабораторний центр на залізничному транспорті МОЗ України""")</f>
        <v>Дніпропетровський ВП ДУ "Лабораторний центр на залізничному транспорті МОЗ України"</v>
      </c>
      <c r="C42" s="16" t="str">
        <f>IFERROR(__xludf.DUMMYFUNCTION("""COMPUTED_VALUE"""),"Дніпропетровська")</f>
        <v>Дніпропетровська</v>
      </c>
      <c r="D42" s="16" t="str">
        <f>IFERROR(__xludf.DUMMYFUNCTION("""COMPUTED_VALUE"""),"Дніпро")</f>
        <v>Дніпро</v>
      </c>
      <c r="E42" s="16" t="str">
        <f>IFERROR(__xludf.DUMMYFUNCTION("""COMPUTED_VALUE"""),"вул. Курчатова, 2А")</f>
        <v>вул. Курчатова, 2А</v>
      </c>
      <c r="F42" s="17" t="str">
        <f>IFERROR(__xludf.DUMMYFUNCTION("""COMPUTED_VALUE"""),"056-793-17-86")</f>
        <v>056-793-17-86</v>
      </c>
      <c r="G42" s="17" t="str">
        <f>IFERROR(__xludf.DUMMYFUNCTION("""COMPUTED_VALUE"""),"Вібрація загальна та локальна,Шум,Інфразвук,Неіонізуюче випромінювання,Мікроклімат,Освітлення,Атмосферний тиск")</f>
        <v>Вібрація загальна та локальна,Шум,Інфразвук,Неіонізуюче випромінювання,Мікроклімат,Освітлення,Атмосферний тиск</v>
      </c>
      <c r="H42" s="17" t="str">
        <f>IFERROR(__xludf.DUMMYFUNCTION("""COMPUTED_VALUE"""),"Азота диоксид,Азота оксид (IV) в перерарасчете на (NO2),Аммиак,Ангидрид сернистый,Ангидрид хромовый,Ацетон,Бензол,Водорода хлорид,Капролактам ,Кислота уксусная,Кислота серная,Ксилол (мета-,орто-, пара-),Марганца оксиды (в пересчете на MnO2) аэрозоль дезин"&amp;"теграции,Масла минеральные нефтяные,Озон,Сероводород,Свинец и его неорганические соединения (по свинцу),Трихлорэтилен,Толуол,Углерода оксид,Фенол,Формальдегид,Хлор,Хрома оксид (по Cr+3),Щелочи едкие (растворы в перерасчете на NaOH),Марганець в сварочном а"&amp;"эрозоле: (до 20% и 20-30%),Кремния диоксид аморфный в виде аэрозоля конденсации при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мен"&amp;"ьше 10 %,Кремния диоксид аморфный в виде аэрозоля дезинтеграции (диатомит, кварцевое стекло, плавленый кварц, трепел);,Кремния диоксид кристаллический (кварц, кристобелит, тридимит) при содержании в пыли больше 70% (кварцит, динас и др.);,Кремния диоксид "&amp;"кристаллический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др.),Зерновая,Мучная, древесн"&amp;"ая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диоксид"&amp;"а кремния от 2 до 10 %),Асбестопородные пыли при содержании в них асбеста до 10 %,Силикаты стеклообразные вулканического происхождения (туфы, пемза, перлит) ,Искусственные минеральные волокна силикатные и алюмосиликатные стеклообразной структуры,Цемент, о"&amp;"ливин, апатит, форстерит, глина, шамот каолиновый,Коксы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5%"&amp;" до 10%")</f>
        <v>Азота диоксид,Азота оксид (IV) в перерарасчете на (NO2),Аммиак,Ангидрид сернистый,Ангидрид хромовый,Ацетон,Бензол,Водорода хлорид,Капролактам ,Кислота уксусная,Кислота серная,Ксилол (мета-,орто-, пара-),Марганца оксиды (в пересчете на MnO2) аэрозоль дезинтеграции,Масла минеральные нефтяные,Озон,Сероводород,Свинец и его неорганические соединения (по свинцу),Трихлорэтилен,Толуол,Углерода оксид,Фенол,Формальдегид,Хлор,Хрома оксид (по Cr+3),Щелочи едкие (растворы в перерасчете на NaOH),Марганець в сварочном аэрозоле: (до 20% и 20-30%),Кремния диоксид аморфный в виде аэрозоля конденсации при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аморфный в виде аэрозоля дезинтеграции (диатомит, кварцевое стекло, плавленый кварц, трепел);,Кремния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10 %),Асбестопородные пыли при содержании в них асбеста до 10 %,Силикаты стеклообразные вулканического происхождения (туфы, пемза, перлит) ,Искусственные минеральные волокна силикатные и алюмосиликатные стеклообразной структуры,Цемент, оливин, апатит, форстерит, глина, шамот каолиновый,Коксы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v>
      </c>
      <c r="I42" s="17" t="str">
        <f>IFERROR(__xludf.DUMMYFUNCTION("""COMPUTED_VALUE"""),"")</f>
        <v/>
      </c>
      <c r="J42" s="17" t="str">
        <f>IFERROR(__xludf.DUMMYFUNCTION("""COMPUTED_VALUE"""),"Важкість праці,Напруженість праці")</f>
        <v>Важкість праці,Напруженість праці</v>
      </c>
      <c r="K42" s="18">
        <f>IFERROR(__xludf.DUMMYFUNCTION("""COMPUTED_VALUE"""),43413.0)</f>
        <v>43413</v>
      </c>
      <c r="L42" s="18" t="str">
        <f>IFERROR(__xludf.DUMMYFUNCTION("""COMPUTED_VALUE"""),"")</f>
        <v/>
      </c>
    </row>
    <row r="43">
      <c r="A43" s="11">
        <f t="shared" si="1"/>
        <v>40</v>
      </c>
      <c r="B43" s="16" t="str">
        <f>IFERROR(__xludf.DUMMYFUNCTION("""COMPUTED_VALUE"""),"ТОВ ""Регіональний учбово-консультативний центр""")</f>
        <v>ТОВ "Регіональний учбово-консультативний центр"</v>
      </c>
      <c r="C43" s="16" t="str">
        <f>IFERROR(__xludf.DUMMYFUNCTION("""COMPUTED_VALUE"""),"Одеська")</f>
        <v>Одеська</v>
      </c>
      <c r="D43" s="16" t="str">
        <f>IFERROR(__xludf.DUMMYFUNCTION("""COMPUTED_VALUE"""),"Одеса")</f>
        <v>Одеса</v>
      </c>
      <c r="E43" s="16" t="str">
        <f>IFERROR(__xludf.DUMMYFUNCTION("""COMPUTED_VALUE"""),"вул. Кримська, 61")</f>
        <v>вул. Кримська, 61</v>
      </c>
      <c r="F43" s="17" t="str">
        <f>IFERROR(__xludf.DUMMYFUNCTION("""COMPUTED_VALUE"""),"048-755-15-05")</f>
        <v>048-755-15-05</v>
      </c>
      <c r="G43" s="17" t="str">
        <f>IFERROR(__xludf.DUMMYFUNCTION("""COMPUTED_VALUE"""),"Вібрація загальна та локальна,Шум,Неіонізуюче випромінювання,Мікроклімат,Освітлення,Атмосферний тиск")</f>
        <v>Вібрація загальна та локальна,Шум,Неіонізуюче випромінювання,Мікроклімат,Освітлення,Атмосферний тиск</v>
      </c>
      <c r="H43" s="17" t="str">
        <f>IFERROR(__xludf.DUMMYFUNCTION("""COMPUTED_VALUE"""),"Азота диоксид,Азота оксид (IV) в перерарасчете на (NO2),Аммиак,Ангидрид сернистый,Бензин,Бензол,Винила хлорид,Водорода хлорид,Этилмеркаптан,Кислота уксусная,Кислота серная,Ксилол (мета-,орто-, пара-),Медь,Марганца оксиды (в пересчете на MnO2) аэрозоль дез"&amp;"интеграции,Марганца оксиды (в пересчете на MnO2) аэрозоль конденсации,Масла минеральные нефтяные,Никеля соли в виде гидроаэрозоля (по Ni),Сероводород,Свинец и его неорганические соединения (по свинцу),Сода кальцинированная,Стирол,Углеводороды алифатически"&amp;"е предельные,Углерода оксид,Формальдегид,Хлор,Щелочи едкие (растворы в перерасчете на NaOH),Марганець в сварочном аэрозоле: (до 20% и 20-30%),Железорудные окатыши,Известняк,Кремния диоксид аморфный в виде аэрозоля конденсации при содержании: больше 60 %,К"&amp;"ремния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аморфный в виде аэрозоля дезинтеграции (диатомит, кварцевое стекло, плавленый кварц,"&amp;" трепел);,Кремния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др.),Кре"&amp;"мния диоксид кристаллический при содержании в пыле от 2 до 10 % (горючие кукерситные сланцы, медно сульфидные руды и др.),Кремния карбид (карборунд).,Зерновая,Мучная, древесная и др. (с примесью диоксида кремния меньше 2 %),Лубяная, хлопчато-бумажная, хло"&amp;"пковая,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асбестопородн"&amp;"ые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,Слюды"&amp;",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искусственны"&amp;"е)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искусственные,Алмаз"&amp;"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f>
        <v>Азота диоксид,Азота оксид (IV) в перерарасчете на (NO2),Аммиак,Ангидрид сернистый,Бензин,Бензол,Винила хлорид,Водорода хлорид,Этилмеркаптан,Кислота уксусная,Кислота серная,Ксилол (мета-,орто-, пара-),Медь,Марганца оксиды (в пересчете на MnO2) аэрозоль дезинтеграции,Марганца оксиды (в пересчете на MnO2) аэрозоль конденсации,Масла минеральные нефтяные,Никеля соли в виде гидроаэрозоля (по Ni),Сероводород,Свинец и его неорганические соединения (по свинцу),Сода кальцинированная,Стирол,Углеводороды алифатические предельные,Углерода оксид,Формальдегид,Хлор,Щелочи едкие (растворы в перерасчете на NaOH),Марганець в сварочном аэрозоле: (до 20% и 20-30%),Железорудные окатыши,Известняк,Кремния диоксид аморфный в виде аэрозоля конденсации при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аморфный в виде аэрозоля дезинтеграции (диатомит, кварцевое стекло, плавленый кварц, трепел);,Кремния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др.),Кремния карбид (карборунд).,Зерновая,Мучная,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v>
      </c>
      <c r="I43" s="17" t="str">
        <f>IFERROR(__xludf.DUMMYFUNCTION("""COMPUTED_VALUE"""),"")</f>
        <v/>
      </c>
      <c r="J43" s="17" t="str">
        <f>IFERROR(__xludf.DUMMYFUNCTION("""COMPUTED_VALUE"""),"Важкість праці,Напруженість праці")</f>
        <v>Важкість праці,Напруженість праці</v>
      </c>
      <c r="K43" s="18">
        <f>IFERROR(__xludf.DUMMYFUNCTION("""COMPUTED_VALUE"""),43413.0)</f>
        <v>43413</v>
      </c>
      <c r="L43" s="18" t="str">
        <f>IFERROR(__xludf.DUMMYFUNCTION("""COMPUTED_VALUE"""),"")</f>
        <v/>
      </c>
    </row>
    <row r="44">
      <c r="A44" s="11">
        <f t="shared" si="1"/>
        <v>41</v>
      </c>
      <c r="B44" s="16" t="str">
        <f>IFERROR(__xludf.DUMMYFUNCTION("""COMPUTED_VALUE"""),"ПП ""Науково-технічний центр ""Екосистема плюс"" вимірювальна лабораторія")</f>
        <v>ПП "Науково-технічний центр "Екосистема плюс" вимірювальна лабораторія</v>
      </c>
      <c r="C44" s="16" t="str">
        <f>IFERROR(__xludf.DUMMYFUNCTION("""COMPUTED_VALUE"""),"Кіровоградська")</f>
        <v>Кіровоградська</v>
      </c>
      <c r="D44" s="16" t="str">
        <f>IFERROR(__xludf.DUMMYFUNCTION("""COMPUTED_VALUE"""),"Кропивницький")</f>
        <v>Кропивницький</v>
      </c>
      <c r="E44" s="16" t="str">
        <f>IFERROR(__xludf.DUMMYFUNCTION("""COMPUTED_VALUE"""),"вул. Велика Перспективна, 50/305")</f>
        <v>вул. Велика Перспективна, 50/305</v>
      </c>
      <c r="F44" s="17" t="str">
        <f>IFERROR(__xludf.DUMMYFUNCTION("""COMPUTED_VALUE"""),"0522-24-47-36")</f>
        <v>0522-24-47-36</v>
      </c>
      <c r="G44" s="17" t="str">
        <f>IFERROR(__xludf.DUMMYFUNCTION("""COMPUTED_VALUE"""),"")</f>
        <v/>
      </c>
      <c r="H44" s="17" t="str">
        <f>IFERROR(__xludf.DUMMYFUNCTION("""COMPUTED_VALUE"""),"")</f>
        <v/>
      </c>
      <c r="I44" s="17" t="str">
        <f>IFERROR(__xludf.DUMMYFUNCTION("""COMPUTED_VALUE"""),"")</f>
        <v/>
      </c>
      <c r="J44" s="17" t="str">
        <f>IFERROR(__xludf.DUMMYFUNCTION("""COMPUTED_VALUE"""),"Важкість праці,Напруженість праці")</f>
        <v>Важкість праці,Напруженість праці</v>
      </c>
      <c r="K44" s="18">
        <f>IFERROR(__xludf.DUMMYFUNCTION("""COMPUTED_VALUE"""),43416.0)</f>
        <v>43416</v>
      </c>
      <c r="L44" s="18" t="str">
        <f>IFERROR(__xludf.DUMMYFUNCTION("""COMPUTED_VALUE"""),"")</f>
        <v/>
      </c>
    </row>
    <row r="45">
      <c r="A45" s="11">
        <f t="shared" si="1"/>
        <v>42</v>
      </c>
      <c r="B45" s="16" t="str">
        <f>IFERROR(__xludf.DUMMYFUNCTION("""COMPUTED_VALUE"""),"ВП ""Рівненська АЕС"" ДП ""НАЕК ""Енергоатом""")</f>
        <v>ВП "Рівненська АЕС" ДП "НАЕК "Енергоатом"</v>
      </c>
      <c r="C45" s="16" t="str">
        <f>IFERROR(__xludf.DUMMYFUNCTION("""COMPUTED_VALUE"""),"Рівненська")</f>
        <v>Рівненська</v>
      </c>
      <c r="D45" s="16" t="str">
        <f>IFERROR(__xludf.DUMMYFUNCTION("""COMPUTED_VALUE"""),"Вараш")</f>
        <v>Вараш</v>
      </c>
      <c r="E45" s="16" t="str">
        <f>IFERROR(__xludf.DUMMYFUNCTION("""COMPUTED_VALUE"""),"")</f>
        <v/>
      </c>
      <c r="F45" s="17" t="str">
        <f>IFERROR(__xludf.DUMMYFUNCTION("""COMPUTED_VALUE"""),"03636-6-46-29      03636-2-23-14")</f>
        <v>03636-6-46-29      03636-2-23-14</v>
      </c>
      <c r="G45" s="17" t="str">
        <f>IFERROR(__xludf.DUMMYFUNCTION("""COMPUTED_VALUE"""),"Вібрація загальна та локальна,Шум,Інфразвук,Неіонізуюче випромінювання,Іонізуюче випромінювання,Мікроклімат,Освітлення,Атмосферний тиск")</f>
        <v>Вібрація загальна та локальна,Шум,Інфразвук,Неіонізуюче випромінювання,Іонізуюче випромінювання,Мікроклімат,Освітлення,Атмосферний тиск</v>
      </c>
      <c r="H45" s="17" t="str">
        <f>IFERROR(__xludf.DUMMYFUNCTION("""COMPUTED_VALUE"""),"Азота диоксид,Азота оксид (IV) в перерарасчете на (NO2),Аммиак,Ацетон,Бензол,Бутилацетат,Гидразин и его производные,Электрокорунд, электрокорунд хромистый,Кислота 1-оксиэтилидендифосфоновая,Кислота уксусная,Кислота серная,Ксилол (мета-,орто-, пара-),Масла"&amp;" минеральные нефтяные,Моноэтаноламин,Никель,Озон,Сероводород,Толуол,Трикрезилфосфат содержащий менее 3% ортоизомеров,Триксиленилфосфат,Углерода оксид,Хлор,Хроматы, бихроматы,Хрома оксид (по Cr+3),Щелочи едкие (растворы в перерасчете на NaOH),Марганець в с"&amp;"варочном аэрозоле: (до 20% и 20-30%),Алюминия оксид в виде аэрозоля дезинтеграции (глинозем, электрокорунд, монокорунд),Бора карбид,Известняк,Корунд белый,Кремния карбид (карборунд).,Чугун в смесе с електрокорундом до 20%,Шамотнографитовые огнеупоры,Мучна"&amp;"я,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10%),Асбест природный и исскуственный, смешанные асбестопородные пыли при содержании в "&amp;"них асбеста больше 10 %,Асбестопородные пыли при содержании в них асбеста до 10 %,Асбестоцемент неокрашенный и цветной,Искусственные минеральные волокна силикатные и алюмосиликатные стеклообразной структуры,Цемент, оливин, апатит, форстерит, глина, шамот "&amp;"каолиновый,Стеклопластик на основе полиэфирной смолы
,Коксы каменноугольный, пековый, нефтяной, сланцевый,Другие ископаемые угли и углеродные пыли с содержанием свободного диоксида кремния до 5%, от 5% до 10%,Алмазы природные и искусственные,Сажи черные п"&amp;"ромышленные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f>
        <v>Азота диоксид,Азота оксид (IV) в перерарасчете на (NO2),Аммиак,Ацетон,Бензол,Бутилацетат,Гидразин и его производные,Электрокорунд, электрокорунд хромистый,Кислота 1-оксиэтилидендифосфоновая,Кислота уксусная,Кислота серная,Ксилол (мета-,орто-, пара-),Масла минеральные нефтяные,Моноэтаноламин,Никель,Озон,Сероводород,Толуол,Трикрезилфосфат содержащий менее 3% ортоизомеров,Триксиленилфосфат,Углерода оксид,Хлор,Хроматы, бихроматы,Хрома оксид (по Cr+3),Щелочи едкие (растворы в перерасчете на NaOH),Марганець в сварочном аэрозоле: (до 20% и 20-30%),Алюминия оксид в виде аэрозоля дезинтеграции (глинозем, электрокорунд, монокорунд),Бора карбид,Известняк,Корунд белый,Кремния карбид (карборунд).,Чугун в смесе с електрокорундом до 20%,Шамотнографитовые огнеупоры,Мучная,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цветной,Искусственные минеральные волокна силикатные и алюмосиликатные стеклообразной структуры,Цемент, оливин, апатит, форстерит, глина, шамот каолиновый,Стеклопластик на основе полиэфирной смолы
,Коксы каменноугольный, пековый, нефтяной, сланцевый,Другие ископаемые угли и углеродные пыли с содержанием свободного диоксида кремния до 5%, от 5% до 10%,Алмазы природные и искусственные,Сажи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v>
      </c>
      <c r="I45" s="17" t="str">
        <f>IFERROR(__xludf.DUMMYFUNCTION("""COMPUTED_VALUE"""),"")</f>
        <v/>
      </c>
      <c r="J45" s="17" t="str">
        <f>IFERROR(__xludf.DUMMYFUNCTION("""COMPUTED_VALUE"""),"Важкість праці,Напруженість праці")</f>
        <v>Важкість праці,Напруженість праці</v>
      </c>
      <c r="K45" s="18">
        <f>IFERROR(__xludf.DUMMYFUNCTION("""COMPUTED_VALUE"""),43417.0)</f>
        <v>43417</v>
      </c>
      <c r="L45" s="18" t="str">
        <f>IFERROR(__xludf.DUMMYFUNCTION("""COMPUTED_VALUE"""),"")</f>
        <v/>
      </c>
    </row>
    <row r="46">
      <c r="A46" s="11">
        <f t="shared" si="1"/>
        <v>43</v>
      </c>
      <c r="B46" s="16" t="str">
        <f>IFERROR(__xludf.DUMMYFUNCTION("""COMPUTED_VALUE"""),"Дослідницько-випробувальний токсикологічний центр ДП ""Науковий центр превентивної токсикології, харчової та хімічної безпеки ім. Академіка Л.І.Медведя МОЗ України""")</f>
        <v>Дослідницько-випробувальний токсикологічний центр ДП "Науковий центр превентивної токсикології, харчової та хімічної безпеки ім. Академіка Л.І.Медведя МОЗ України"</v>
      </c>
      <c r="C46" s="16" t="str">
        <f>IFERROR(__xludf.DUMMYFUNCTION("""COMPUTED_VALUE"""),"Київська")</f>
        <v>Київська</v>
      </c>
      <c r="D46" s="16" t="str">
        <f>IFERROR(__xludf.DUMMYFUNCTION("""COMPUTED_VALUE"""),"Київ")</f>
        <v>Київ</v>
      </c>
      <c r="E46" s="16" t="str">
        <f>IFERROR(__xludf.DUMMYFUNCTION("""COMPUTED_VALUE"""),"вул. Героїв Оборони, 6")</f>
        <v>вул. Героїв Оборони, 6</v>
      </c>
      <c r="F46" s="17" t="str">
        <f>IFERROR(__xludf.DUMMYFUNCTION("""COMPUTED_VALUE"""),"044-526-93-21    факс 044-526-95-54")</f>
        <v>044-526-93-21    факс 044-526-95-54</v>
      </c>
      <c r="G46" s="17" t="str">
        <f>IFERROR(__xludf.DUMMYFUNCTION("""COMPUTED_VALUE"""),"Вібрація загальна та локальна,Шум,Освітлення")</f>
        <v>Вібрація загальна та локальна,Шум,Освітлення</v>
      </c>
      <c r="H46" s="17" t="str">
        <f>IFERROR(__xludf.DUMMYFUNCTION("""COMPUTED_VALUE"""),"Азота диоксид,Азота оксид (IV) в перерарасчете на (NO2),Акрилонитрил,Акролеин,Алюминий и його сплавы,Альдегид пропионовый,Альфа-метилстирол,Аммиак,Ангидрид сернистый,Ангидрид фталевый,Ангидрид хромовый,Ацетон,Ацетальдегид,Ацетилен,Барий,Бензин,Бензол,Бери"&amp;"лий,Бутан,Бутилацетат,Бутилметакрилат,Бутилакрилат,Винилацетат,Винила хлорид,Водорода хлорид,Водород фтористий (в пересчете на F),Гексаметилендиамин,Гексаметилендиизоцианат,Дибутилфталат,Дибутилсебацинат,Диметилтерефталат,Дихлорэтан,Диэтиленгликоль,Диэтил"&amp;"овый эфир,Диоктилфталат,4,4-дифенилметандиизоцианат,Дихлорметан,Изобутан,Изопентан,Изопропилбензол,Эпихлоргидрин,Этан,Этилен,Этилцеллозольв (этиловый эфир этиленгликоля),Этиленгликоль,Этилбензол,Этилацетат ,Кадмий и его неорганические соединения,Капролакт"&amp;"ам ,Каптакс,Кислота уксусная,Кислота серная,Кислота соляная,Кобальт и его неорганические соединения,Ксилол (мета-,орто-, пара-),Марганец,Медь,Марганца оксиды (в пересчете на MnO2) аэрозоль дезинтеграции,Метилметакрилат,Метан,Метакрилат,Метилцеллозольв,Мыш"&amp;"ьяка неорганические соединения (по мышьяку),Никель,Никель, никеля оксиды, сульфиды и смеси соединений никеля (файнштейн, никелевый концентрат и агломерат, оборотная пыль очистных устройств (по Ni)
,Озон,Олово,Пропан,Пропилен,Пропилацетат,Ртуть,Селен,Сереб"&amp;"ро,Сероводород,Свинец и его неорганические соединения (по свинцу),Сольвент-нафта,Скипидар,Спирт н-бутиловый, бутиловый вторичный и третичный
,Спирт этиловий,Спирт метиловий,Спирт пропиловый,Спирт изобутиловый,Спирт изопропиловый,Стирол,Сурьма,Титан и его "&amp;"диоксид,Трихлорэтилен,Трихлорбензол,Триэтиленгликоль,Толуол,Толуилендиамин,Толуилендиизоцианат,Уайт-спирит (в пересчете на С),Углеводороды алифатические предельные,Углерода оксид,Углерод четыреххлористый,Фенол,Фенилизоцианат,Формальдегид,Фосфор,Фурфурол,Х"&amp;"лор,Хлорбензол,Хлороформ,Хром,Хрома оксид (по Cr+3),Циклогексан,Цинк,Цинка оксид,Щелочи едкие (растворы в перерасчете на NaOH),Алюминий и его сплавы (в перерасчете на алюминий),Алюминия оксид с примесью свободного диоксида кремния до 15% и оксида железа д"&amp;"о 10% ( в виде аерозоля конденсации),Марганець в сварочном аэрозоле: (до 20% и 20-30%),Метилэтилкетон,Цинк и цинка оксид,Зерновая,Мучная, древесная и др. (с примесью диоксида кремния меньше 2 %),Лубяная, хлопчато-бумажная, хлопковая, льняная, шерстяная, п"&amp;"уховая и др. (с примесью диоксида кремния более 10%),Лубяная, хлопчато-бумажная, хлопковая, льняная, шерстяная, пуховая и др. (с примесью диоксида кремния от 2 до 10 %),Силикатсодержащие пыли, силикаты, алюмосиликаты асбесты природные (хризолит, актофилли"&amp;"т, эктинолит, тремолит, магнезиарфведсонит) и синтетическиеасбесты, а такжесмешанныеасбестопородныепыли при содержании в них асбестаболее 20%;
")</f>
        <v>Азота диоксид,Азота оксид (IV) в перерарасчете на (NO2),Акрилонитрил,Акролеин,Алюминий и його сплавы,Альдегид пропионовый,Альфа-метилстирол,Аммиак,Ангидрид сернистый,Ангидрид фталевый,Ангидрид хромовый,Ацетон,Ацетальдегид,Ацетилен,Барий,Бензин,Бензол,Берилий,Бутан,Бутилацетат,Бутилметакрилат,Бутилакрилат,Винилацетат,Винила хлорид,Водорода хлорид,Водород фтористий (в пересчете на F),Гексаметилендиамин,Гексаметилендиизоцианат,Дибутилфталат,Дибутилсебацинат,Диметилтерефталат,Дихлорэтан,Диэтиленгликоль,Диэтиловый эфир,Диоктилфталат,4,4-дифенилметандиизоцианат,Дихлорметан,Изобутан,Изопентан,Изопропилбензол,Эпихлоргидрин,Этан,Этилен,Этилцеллозольв (этиловый эфир этиленгликоля),Этиленгликоль,Этилбензол,Этилацетат ,Кадмий и его неорганические соединения,Капролактам ,Каптакс,Кислота уксусная,Кислота серная,Кислота соляная,Кобальт и его неорганические соединения,Ксилол (мета-,орто-, пара-),Марганец,Медь,Марганца оксиды (в пересчете на MnO2) аэрозоль дезинтеграции,Метилметакрилат,Метан,Метакрилат,Метилцеллозольв,Мышьяка неорганические соединения (по мышьяку),Никель,Никель, никеля оксиды, сульфиды и смеси соединений никеля (файнштейн, никелевый концентрат и агломерат, оборотная пыль очистных устройств (по Ni)
,Озон,Олово,Пропан,Пропилен,Пропилацетат,Ртуть,Селен,Серебро,Сероводород,Свинец и его неорганические соединения (по свинцу),Сольвент-нафта,Скипидар,Спирт н-бутиловый, бутиловый вторичный и третичный
,Спирт этиловий,Спирт метиловий,Спирт пропиловый,Спирт изобутиловый,Спирт изопропиловый,Стирол,Сурьма,Титан и его диоксид,Трихлорэтилен,Трихлорбензол,Триэтиленгликоль,Толуол,Толуилендиамин,Толуилендиизоцианат,Уайт-спирит (в пересчете на С),Углеводороды алифатические предельные,Углерода оксид,Углерод четыреххлористый,Фенол,Фенилизоцианат,Формальдегид,Фосфор,Фурфурол,Хлор,Хлорбензол,Хлороформ,Хром,Хрома оксид (по Cr+3),Циклогексан,Цинк,Цинка оксид,Щелочи едкие (растворы в перерасчете на NaOH),Алюминий и его сплавы (в перерасчете на алюминий),Алюминия оксид с примесью свободного диоксида кремния до 15% и оксида железа до 10% ( в виде аерозоля конденсации),Марганець в сварочном аэрозоле: (до 20% и 20-30%),Метилэтилкетон,Цинк и цинка оксид,Зерновая,Мучная,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10 %),Силикатсодержащие пыли, силикаты, алюмосиликаты асбесты природные (хризолит, актофиллит, эктинолит, тремолит, магнезиарфведсонит) и синтетическиеасбесты, а такжесмешанныеасбестопородныепыли при содержании в них асбестаболее 20%;
</v>
      </c>
      <c r="I46" s="17" t="str">
        <f>IFERROR(__xludf.DUMMYFUNCTION("""COMPUTED_VALUE"""),"")</f>
        <v/>
      </c>
      <c r="J46" s="17" t="str">
        <f>IFERROR(__xludf.DUMMYFUNCTION("""COMPUTED_VALUE"""),"Важкість праці,Напруженість праці")</f>
        <v>Важкість праці,Напруженість праці</v>
      </c>
      <c r="K46" s="18">
        <f>IFERROR(__xludf.DUMMYFUNCTION("""COMPUTED_VALUE"""),43423.0)</f>
        <v>43423</v>
      </c>
      <c r="L46" s="18" t="str">
        <f>IFERROR(__xludf.DUMMYFUNCTION("""COMPUTED_VALUE"""),"")</f>
        <v/>
      </c>
    </row>
    <row r="47">
      <c r="A47" s="11">
        <f t="shared" si="1"/>
        <v>44</v>
      </c>
      <c r="B47" s="16" t="str">
        <f>IFERROR(__xludf.DUMMYFUNCTION("""COMPUTED_VALUE"""),"КП ""Київпастранс"" відокремлений підрозділ Станція технічного обслуговування автобусів")</f>
        <v>КП "Київпастранс" відокремлений підрозділ Станція технічного обслуговування автобусів</v>
      </c>
      <c r="C47" s="16" t="str">
        <f>IFERROR(__xludf.DUMMYFUNCTION("""COMPUTED_VALUE"""),"Київська")</f>
        <v>Київська</v>
      </c>
      <c r="D47" s="16" t="str">
        <f>IFERROR(__xludf.DUMMYFUNCTION("""COMPUTED_VALUE"""),"Київ")</f>
        <v>Київ</v>
      </c>
      <c r="E47" s="16" t="str">
        <f>IFERROR(__xludf.DUMMYFUNCTION("""COMPUTED_VALUE"""),"вул. Сім'ї Сосніних, 3/5")</f>
        <v>вул. Сім'ї Сосніних, 3/5</v>
      </c>
      <c r="F47" s="17" t="str">
        <f>IFERROR(__xludf.DUMMYFUNCTION("""COMPUTED_VALUE"""),"044-407-32-32")</f>
        <v>044-407-32-32</v>
      </c>
      <c r="G47" s="17" t="str">
        <f>IFERROR(__xludf.DUMMYFUNCTION("""COMPUTED_VALUE"""),"Вібрація загальна та локальна,Шум,Мікроклімат,Освітлення,Атмосферний тиск")</f>
        <v>Вібрація загальна та локальна,Шум,Мікроклімат,Освітлення,Атмосферний тиск</v>
      </c>
      <c r="H47" s="17" t="str">
        <f>IFERROR(__xludf.DUMMYFUNCTION("""COMPUTED_VALUE"""),"Азота диоксид,Аммиак,Ангидрид сернистый,Бензол,Бутилацетат,Водорода хлорид,Водород фтористий (в пересчете на F),Дихлорэтан,Этилцеллозольв (этиловый эфир этиленгликоля),Этилацетат ,Кислота уксусная,Кислота серная,Ксилол (мета-,орто-, пара-),Медь,Масла мине"&amp;"ральные нефтяные,Никель,Сероводород,Свинец и его неорганические соединения (по свинцу),Углерода оксид,Фенол,Формальдегид,Фенопласты,Фтористоводородной кислоты соли (по F):
 фториды натрия, калия, аммония, цинка, олова, серебра, лития и бария, криолит, гид"&amp;"рофторид аммония,Фтористоводородной кислоты соли (по F) фториды алюминия, магния, кальция, стронция, меди, хрома,Хлор,Хроматы, бихроматы,Хрома оксид (по Cr+3),Щелочи едкие (растворы в перерасчете на NaOH),Марганець в сварочном аэрозоле: (до 20% и 20-30%),"&amp;"Известняк,Кремния карбид (карборунд).,Полиэтилен,Чугун в смесе с електрокорундом до 20%,Зерновая,Мучная,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диоксида"&amp;" кремния более 10%),Лубяная, хлопчато-бумажная, хлопковая, льняная, шерстяная, пуховая и др. (с примесью диоксида кремния от 2 до 10 %),Силикатсодержащие пыли, силикаты, алюмосиликаты при содержании асбеста менее 10%; асбестоцемент,Силикатсодержащие пыли,"&amp;" силикаты, алюмосиликаты при содержанииасбеста от 10 до 20%
,Силикатсодержащие пыли, силикаты, алюмосиликаты асбесты природные (хризолит, актофиллит, эктинолит, тремолит, магнезиарфведсонит) и синтетическиеасбесты, а такжесмешанныеасбестопородныепыли при "&amp;"содержании в них асбестаболее 20%;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кре"&amp;"мния,Искусственные минеральные волокна силикатные и алюмосиликатные стеклообразной структуры,Цемент, оливин, апатит, форстерит, глина, шамот каолиновый,Коксы каменноугольный, пековый, нефтяной, сланцевый,Антрацит с содержанием свободного диоксида кремния "&amp;"до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воло"&amp;"книстые материалы на основе гидрат целлюлозных волокон,Углеродные волокнистые материалы на основе гидрат полиакрилонитрильных волокон")</f>
        <v>Азота диоксид,Аммиак,Ангидрид сернистый,Бензол,Бутилацетат,Водорода хлорид,Водород фтористий (в пересчете на F),Дихлорэтан,Этилцеллозольв (этиловый эфир этиленгликоля),Этилацетат ,Кислота уксусная,Кислота серная,Ксилол (мета-,орто-, пара-),Медь,Масла минеральные нефтяные,Никель,Сероводород,Свинец и его неорганические соединения (по свинцу),Углерода оксид,Фенол,Формальдегид,Фенопласты,Фтористоводородной кислоты соли (по F):
 фториды натрия, калия, аммония, цинка, олова, серебра, лития и бария, криолит, гидрофторид аммония,Фтористоводородной кислоты соли (по F) фториды алюминия, магния, кальция, стронция, меди, хрома,Хлор,Хроматы, бихроматы,Хрома оксид (по Cr+3),Щелочи едкие (растворы в перерасчете на NaOH),Марганець в сварочном аэрозоле: (до 20% и 20-30%),Известняк,Кремния карбид (карборунд).,Полиэтилен,Чугун в смесе с електрокорундом до 20%,Зерновая,Мучная,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10 %),Силикатсодержащие пыли, силикаты, алюмосиликаты при содержании асбеста менее 10%; асбестоцемент,Силикатсодержащие пыли, силикаты, алюмосиликаты при содержанииасбеста от 10 до 20%
,Силикатсодержащие пыли, силикаты, алюмосиликаты асбесты природные (хризолит, актофиллит, эктинолит, тремолит, магнезиарфведсонит) и синтетическиеасбесты, а такжесмешанныеасбестопородныепыли при содержании в них асбестаболее 20%;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v>
      </c>
      <c r="I47" s="17" t="str">
        <f>IFERROR(__xludf.DUMMYFUNCTION("""COMPUTED_VALUE"""),"")</f>
        <v/>
      </c>
      <c r="J47" s="17" t="str">
        <f>IFERROR(__xludf.DUMMYFUNCTION("""COMPUTED_VALUE"""),"Важкість праці,Напруженість праці")</f>
        <v>Важкість праці,Напруженість праці</v>
      </c>
      <c r="K47" s="18">
        <f>IFERROR(__xludf.DUMMYFUNCTION("""COMPUTED_VALUE"""),43423.0)</f>
        <v>43423</v>
      </c>
      <c r="L47" s="18" t="str">
        <f>IFERROR(__xludf.DUMMYFUNCTION("""COMPUTED_VALUE"""),"")</f>
        <v/>
      </c>
    </row>
    <row r="48">
      <c r="A48" s="11">
        <f t="shared" si="1"/>
        <v>45</v>
      </c>
      <c r="B48" s="16" t="str">
        <f>IFERROR(__xludf.DUMMYFUNCTION("""COMPUTED_VALUE"""),"Селидівська міжміська філія ДУ ""Донецький обласний лабораторний центр МОЗ України""")</f>
        <v>Селидівська міжміська філія ДУ "Донецький обласний лабораторний центр МОЗ України"</v>
      </c>
      <c r="C48" s="16" t="str">
        <f>IFERROR(__xludf.DUMMYFUNCTION("""COMPUTED_VALUE"""),"Донецька")</f>
        <v>Донецька</v>
      </c>
      <c r="D48" s="16" t="str">
        <f>IFERROR(__xludf.DUMMYFUNCTION("""COMPUTED_VALUE"""),"Селидове")</f>
        <v>Селидове</v>
      </c>
      <c r="E48" s="16" t="str">
        <f>IFERROR(__xludf.DUMMYFUNCTION("""COMPUTED_VALUE"""),"вул. Берегова, 123")</f>
        <v>вул. Берегова, 123</v>
      </c>
      <c r="F48" s="17" t="str">
        <f>IFERROR(__xludf.DUMMYFUNCTION("""COMPUTED_VALUE"""),"06237-7-08-21")</f>
        <v>06237-7-08-21</v>
      </c>
      <c r="G48" s="17" t="str">
        <f>IFERROR(__xludf.DUMMYFUNCTION("""COMPUTED_VALUE"""),"Вібрація загальна та локальна,Шум,Інфразвук,Мікроклімат,Освітлення")</f>
        <v>Вібрація загальна та локальна,Шум,Інфразвук,Мікроклімат,Освітлення</v>
      </c>
      <c r="H48" s="17" t="str">
        <f>IFERROR(__xludf.DUMMYFUNCTION("""COMPUTED_VALUE"""),"Азота диоксид,Азота оксид (IV) в перерарасчете на (NO2),Аммиак,Ангидрид сернистый,Ангидрид фосфорный,Ангидрид хромовый,Ацетон,Ацетальдегид,Бутилацетат,Водорода хлорид,Вольфрам, вольфрама карбид и силицид,Электрокорунд, электрокорунд хромистый,Этилацетат ,"&amp;"Кислота уксусная,Керосин,Кислота серная,Ксилол (мета-,орто-, пара-),Медь,Масла минеральные нефтяные,Нафталин,Никель, никеля оксиды, сульфиды и смеси соединений никеля (файнштейн, никелевый концентрат и агломерат, оборотная пыль очистных устройств (по Ni)
"&amp;",Озон,Ртуть,Сероводород,Свинец и его неорганические соединения (по свинцу),Синтетические моющие средства „Лотос”,”Ера”,”Ока” ,Титан и его диоксид,Толуол,Уайт-спирит (в пересчете на С),Фенол,Формальдегид,Фенолформальдегидные смолы по фенолу,Фенолформальдег"&amp;"идные смолы формальдегиду,Хлор,Цинка оксид,Щелочи едкие (растворы в перерасчете на NaOH),Кобальт ,Марганець в сварочном аэрозоле: (до 20% и 20-30%),Известняк,Кремния диоксид кристаллический при содержании в пыле от 10 до 70 % (гранит, шамот, слюда-сирец, "&amp;"углепородная пыль и др.),Кремния карбид (карборунд).,Чугун в смесе с електрокорундом до 20%,Зерновая,Мучная, древесная и др. (с примесью диоксида кремния меньше 2 %),Силикатсодержащие пыли, силикаты, алюмосиликаты при содержании асбеста менее 10%; асбесто"&amp;"цемент,Силикатсодержащие пыли, силикаты, алюмосиликаты при содержанииасбеста от 10 до 20%
,Силикатсодержащие пыли, силикаты, алюмосиликаты асбесты природные (хризолит, актофиллит, эктинолит, тремолит, магнезиарфведсонит) и синтетическиеасбесты, а такжесме"&amp;"шанныеасбестопородныепыли при содержании в них асбестаболее 20%;
,Искусственные минеральные волокна силикатные и алюмосиликатные стеклообразной структуры,Цемент, оливин, апатит, форстерит, глина, шамот каолиновый,Другие ископаемые угли и углеродные пыли "&amp;"с содержанием свободного диоксида кремния до 5%, от 5% до 10%")</f>
        <v>Азота диоксид,Азота оксид (IV) в перерарасчете на (NO2),Аммиак,Ангидрид сернистый,Ангидрид фосфорный,Ангидрид хромовый,Ацетон,Ацетальдегид,Бутилацетат,Водорода хлорид,Вольфрам, вольфрама карбид и силицид,Электрокорунд, электрокорунд хромистый,Этилацетат ,Кислота уксусная,Керосин,Кислота серная,Ксилол (мета-,орто-, пара-),Медь,Масла минеральные нефтяные,Нафталин,Никель, никеля оксиды, сульфиды и смеси соединений никеля (файнштейн, никелевый концентрат и агломерат, оборотная пыль очистных устройств (по Ni)
,Озон,Ртуть,Сероводород,Свинец и его неорганические соединения (по свинцу),Синтетические моющие средства „Лотос”,”Ера”,”Ока” ,Титан и его диоксид,Толуол,Уайт-спирит (в пересчете на С),Фенол,Формальдегид,Фенолформальдегидные смолы по фенолу,Фенолформальдегидные смолы формальдегиду,Хлор,Цинка оксид,Щелочи едкие (растворы в перерасчете на NaOH),Кобальт ,Марганець в сварочном аэрозоле: (до 20% и 20-30%),Известняк,Кремния диоксид кристаллический при содержании в пыле от 10 до 70 % (гранит, шамот, слюда-сирец, углепородная пыль и др.),Кремния карбид (карборунд).,Чугун в смесе с електрокорундом до 20%,Зерновая,Мучная, древесная и др. (с примесью диоксида кремния меньше 2 %),Силикатсодержащие пыли, силикаты, алюмосиликаты при содержании асбеста менее 10%; асбестоцемент,Силикатсодержащие пыли, силикаты, алюмосиликаты при содержанииасбеста от 10 до 20%
,Силикатсодержащие пыли, силикаты, алюмосиликаты асбесты природные (хризолит, актофиллит, эктинолит, тремолит, магнезиарфведсонит) и синтетическиеасбесты, а такжесмешанныеасбестопородныепыли при содержании в них асбестаболее 20%;
,Искусственные минеральные волокна силикатные и алюмосиликатные стеклообразной структуры,Цемент, оливин, апатит, форстерит, глина, шамот каолиновый,Другие ископаемые угли и углеродные пыли с содержанием свободного диоксида кремния до 5%, от 5% до 10%</v>
      </c>
      <c r="I48" s="17" t="str">
        <f>IFERROR(__xludf.DUMMYFUNCTION("""COMPUTED_VALUE"""),"")</f>
        <v/>
      </c>
      <c r="J48" s="17" t="str">
        <f>IFERROR(__xludf.DUMMYFUNCTION("""COMPUTED_VALUE"""),"Важкість праці,Напруженість праці")</f>
        <v>Важкість праці,Напруженість праці</v>
      </c>
      <c r="K48" s="18">
        <f>IFERROR(__xludf.DUMMYFUNCTION("""COMPUTED_VALUE"""),43424.0)</f>
        <v>43424</v>
      </c>
      <c r="L48" s="18" t="str">
        <f>IFERROR(__xludf.DUMMYFUNCTION("""COMPUTED_VALUE"""),"")</f>
        <v/>
      </c>
    </row>
    <row r="49">
      <c r="A49" s="11">
        <f t="shared" si="1"/>
        <v>46</v>
      </c>
      <c r="B49" s="16" t="str">
        <f>IFERROR(__xludf.DUMMYFUNCTION("""COMPUTED_VALUE"""),"ДУ ""Лабораторний центр на повітряному транспорті МОЗ України""")</f>
        <v>ДУ "Лабораторний центр на повітряному транспорті МОЗ України"</v>
      </c>
      <c r="C49" s="16" t="str">
        <f>IFERROR(__xludf.DUMMYFUNCTION("""COMPUTED_VALUE"""),"Київська")</f>
        <v>Київська</v>
      </c>
      <c r="D49" s="16" t="str">
        <f>IFERROR(__xludf.DUMMYFUNCTION("""COMPUTED_VALUE"""),"Київ")</f>
        <v>Київ</v>
      </c>
      <c r="E49" s="16" t="str">
        <f>IFERROR(__xludf.DUMMYFUNCTION("""COMPUTED_VALUE"""),"вул. Волинська, 66 А")</f>
        <v>вул. Волинська, 66 А</v>
      </c>
      <c r="F49" s="17" t="str">
        <f>IFERROR(__xludf.DUMMYFUNCTION("""COMPUTED_VALUE"""),"044-339-23-21     044-501-30-76")</f>
        <v>044-339-23-21     044-501-30-76</v>
      </c>
      <c r="G49" s="17" t="str">
        <f>IFERROR(__xludf.DUMMYFUNCTION("""COMPUTED_VALUE"""),"Вібрація загальна та локальна,Шум,Інфразвук,Неіонізуюче випромінювання,Іонізуюче випромінювання,Мікроклімат,Освітлення,Атмосферний тиск")</f>
        <v>Вібрація загальна та локальна,Шум,Інфразвук,Неіонізуюче випромінювання,Іонізуюче випромінювання,Мікроклімат,Освітлення,Атмосферний тиск</v>
      </c>
      <c r="H49" s="17" t="str">
        <f>IFERROR(__xludf.DUMMYFUNCTION("""COMPUTED_VALUE"""),"Азота диоксид,Азота оксид (IV) в перерарасчете на (NO2),Акролеин,Алюминий и його сплавы,Алюминия  оксид в смеси со сплавом никеля до 15% (электрокорунд),Аммиак,Ангидрид сернистый,Ангидрид фосфорный,Ангидрид хромовый,Анилин,Ацетон,Бензин,Бензол,Бутилацетат"&amp;",Ванадий и его соединения,Винилацетат,Винила хлорид,Водорода хлорид,Водорода цианид,Водород фтористий (в пересчете на F),Вольфрам, вольфрама карбид и силицид,Гидразин и его производные,Дихлорэтан,Диоктилсебацинат,Электрокорунд, электрокорунд хромистый,Эпи"&amp;"хлоргидрин,Этилцеллозольв (этиловый эфир этиленгликоля),Этиленгликоль,Этилацетат ,Этилена оксид,Кадмий и его неорганические соединения,Капролактам ,Кислота уксусная,Керамика,Керосин,Кислота серная,Кобальта оксид,Ксилол (мета-,орто-, пара-),Медь,Меди соли "&amp;"(хлорная, хлористая, сернокислая) по меди
,Марганца оксиды (в пересчете на MnO2) аэрозоль дезинтеграции,Марганца оксиды (в пересчете на MnO2) аэрозоль конденсации,Масла минеральные нефтяные,Молибдена нерастворимые соединения,Молибдена растворимые соединен"&amp;"ия в виде аэрозоля конденсации,Натрия хлорид,Нафталин,Никеля соли в виде гидроаэрозоля (по Ni),Никель, никеля оксиды, сульфиды и смеси соединений никеля (файнштейн, никелевый концентрат и агломерат, оборотная пыль очистных устройств (по Ni)
,Нефрас С 150/"&amp;"200 (в пересчете на С),Озон,Пиридин,Пропиленгликоль,Полиамидные пресс-порошки ПМ-69, ПАИ-1,Ртуть,Сероводород в смеси с углеводородами С1-С5,Свинец и его неорганические соединения (по свинцу),Синтетические моющие средства „Лотос”,”Ера”,”Ока” ,Скипидар,Спир"&amp;"т н-бутиловый, бутиловый вторичный и третичный
,Спирт этиловий,Спирт метиловий,Спирт изоамиловый,Стирол,Толуол,Толуилендиизоцианат,Уайт-спирит (в пересчете на С),Углеводороды алифатические предельные,Углерода оксид,Углерод четыреххлористый,Фенол,Формальде"&amp;"гид,Хлор,Хлоропрен,Хроматы, бихроматы,Хрома оксид (по Cr+3),Целлюлоза,Циклогексанон,Цинка оксид,Щелочи едкие (растворы в перерасчете на NaOH),Алюминия оксид с примесью свободного диоксида кремния до 15% и оксида железа до 10% ( в виде аерозоля конденсации"&amp;"),Алюминия оксид с примесью диоксида кремния ( в виде аерозоля конденсации),Вольфрам,Кобальт ,Кобальта оксид ,Марганець в сварочном аэрозоле: (до 20% и 20-30%),Корунд белый,Кремния карбид (карборунд).,Поливинилхлорид,Полимеры и сополимеры на основе акрило"&amp;"вых и метакриловых мономеров,Полипропилен,Полиэтилен,Зерновая,Мучная,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хлопча"&amp;"то-бумажная,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асбест"&amp;"а до 10 %,Асбестоцемент неокрашенный и цветной,Асбестобакелит, асбесторезина,Слюды,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структуры,Углеродные"&amp;" волокнистые материалы на основе гидрат целлюлозных волокон,Углеродные волокнистые материалы на основе гидрат полиакрилонитрильных волокон,Фосфорорганічні")</f>
        <v>Азота диоксид,Азота оксид (IV) в перерарасчете на (NO2),Акролеин,Алюминий и його сплавы,Алюминия  оксид в смеси со сплавом никеля до 15% (электрокорунд),Аммиак,Ангидрид сернистый,Ангидрид фосфорный,Ангидрид хромовый,Анилин,Ацетон,Бензин,Бензол,Бутилацетат,Ванадий и его соединения,Винилацетат,Винила хлорид,Водорода хлорид,Водорода цианид,Водород фтористий (в пересчете на F),Вольфрам, вольфрама карбид и силицид,Гидразин и его производные,Дихлорэтан,Диоктилсебацинат,Электрокорунд, электрокорунд хромистый,Эпихлоргидрин,Этилцеллозольв (этиловый эфир этиленгликоля),Этиленгликоль,Этилацетат ,Этилена оксид,Кадмий и его неорганические соединения,Капролактам ,Кислота уксусная,Керамика,Керосин,Кислота серная,Кобальта оксид,Ксилол (мета-,орто-, пара-),Медь,Меди соли (хлорная, хлористая, сернокислая) по меди
,Марганца оксиды (в пересчете на MnO2) аэрозоль дезинтеграции,Марганца оксиды (в пересчете на MnO2) аэрозоль конденсации,Масла минеральные нефтяные,Молибдена нерастворимые соединения,Молибдена растворимые соединения в виде аэрозоля конденсации,Натрия хлорид,Нафталин,Никеля соли в виде гидроаэрозоля (по Ni),Никель, никеля оксиды, сульфиды и смеси соединений никеля (файнштейн, никелевый концентрат и агломерат, оборотная пыль очистных устройств (по Ni)
,Нефрас С 150/200 (в пересчете на С),Озон,Пиридин,Пропиленгликоль,Полиамидные пресс-порошки ПМ-69, ПАИ-1,Ртуть,Сероводород в смеси с углеводородами С1-С5,Свинец и его неорганические соединения (по свинцу),Синтетические моющие средства „Лотос”,”Ера”,”Ока” ,Скипидар,Спирт н-бутиловый, бутиловый вторичный и третичный
,Спирт этиловий,Спирт метиловий,Спирт изоамиловый,Стирол,Толуол,Толуилендиизоцианат,Уайт-спирит (в пересчете на С),Углеводороды алифатические предельные,Углерода оксид,Углерод четыреххлористый,Фенол,Формальдегид,Хлор,Хлоропрен,Хроматы, бихроматы,Хрома оксид (по Cr+3),Целлюлоза,Циклогексанон,Цинка оксид,Щелочи едкие (растворы в перерасчете на NaOH),Алюминия оксид с примесью свободного диоксида кремния до 15% и оксида железа до 10% ( в виде аерозоля конденсации),Алюминия оксид с примесью диоксида кремния ( в виде аерозоля конденсации),Вольфрам,Кобальт ,Кобальта оксид ,Марганець в сварочном аэрозоле: (до 20% и 20-30%),Корунд белый,Кремния карбид (карборунд).,Поливинилхлорид,Полимеры и сополимеры на основе акриловых и метакриловых мономеров,Полипропилен,Полиэтилен,Зерновая,Мучная,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волокон,Фосфорорганічні</v>
      </c>
      <c r="I49" s="17" t="str">
        <f>IFERROR(__xludf.DUMMYFUNCTION("""COMPUTED_VALUE"""),"")</f>
        <v/>
      </c>
      <c r="J49" s="17" t="str">
        <f>IFERROR(__xludf.DUMMYFUNCTION("""COMPUTED_VALUE"""),"Важкість праці,Напруженість праці")</f>
        <v>Важкість праці,Напруженість праці</v>
      </c>
      <c r="K49" s="18">
        <f>IFERROR(__xludf.DUMMYFUNCTION("""COMPUTED_VALUE"""),43437.0)</f>
        <v>43437</v>
      </c>
      <c r="L49" s="18" t="str">
        <f>IFERROR(__xludf.DUMMYFUNCTION("""COMPUTED_VALUE"""),"")</f>
        <v/>
      </c>
    </row>
    <row r="50">
      <c r="A50" s="11">
        <f t="shared" si="1"/>
        <v>47</v>
      </c>
      <c r="B50" s="16" t="str">
        <f>IFERROR(__xludf.DUMMYFUNCTION("""COMPUTED_VALUE"""),"Випробувальна лабораторія Львівського національного медичного університету ім. Данила Галицького")</f>
        <v>Випробувальна лабораторія Львівського національного медичного університету ім. Данила Галицького</v>
      </c>
      <c r="C50" s="16" t="str">
        <f>IFERROR(__xludf.DUMMYFUNCTION("""COMPUTED_VALUE"""),"Львівська")</f>
        <v>Львівська</v>
      </c>
      <c r="D50" s="16" t="str">
        <f>IFERROR(__xludf.DUMMYFUNCTION("""COMPUTED_VALUE"""),"Львів")</f>
        <v>Львів</v>
      </c>
      <c r="E50" s="16" t="str">
        <f>IFERROR(__xludf.DUMMYFUNCTION("""COMPUTED_VALUE"""),"вул. Пекарська, 52")</f>
        <v>вул. Пекарська, 52</v>
      </c>
      <c r="F50" s="17" t="str">
        <f>IFERROR(__xludf.DUMMYFUNCTION("""COMPUTED_VALUE"""),"032-260-09-06")</f>
        <v>032-260-09-06</v>
      </c>
      <c r="G50" s="17" t="str">
        <f>IFERROR(__xludf.DUMMYFUNCTION("""COMPUTED_VALUE"""),"Вібрація загальна та локальна,Шум,Мікроклімат,Освітлення")</f>
        <v>Вібрація загальна та локальна,Шум,Мікроклімат,Освітлення</v>
      </c>
      <c r="H50" s="17" t="str">
        <f>IFERROR(__xludf.DUMMYFUNCTION("""COMPUTED_VALUE"""),"Азота диоксид,Азота оксид (IV) в перерарасчете на (NO2),Аммиак,Ангидрид сернистый,Ацетон,Ацетальдегид,Бензин,Бензол,Бутилацетат,Водорода хлорид,4,4-дифенилметандиизоцианат,Этилацетат ,Кадмий и его неорганические соединения,Кислота уксусная,Кислота серная,"&amp;"Ксилол (мета-,орто-, пара-),Медь,Масла минеральные нефтяные,Метилметакрилат,Никель,Ртуть,Свинец и его неорганические соединения (по свинцу),Сольвент-нафта,Спирт н-бутиловый, бутиловый вторичный и третичный
,Спирт этиловий,Спирт метиловий,Спирт пропиловый,"&amp;"Стирол,Толуилендиизоцианат,Толуол,Уайт-спирит (в пересчете на С),Углеводороды алифатические предельные,Формальдегид,Щелочи едкие (растворы в перерасчете на NaOH),Алюминия оксид в виде аэрозоля дезинтеграции (глинозем, электрокорунд, монокорунд),Алюминия о"&amp;"ксид с примесью свободного диоксида кремния до 15% и оксида железа до 10% ( в виде аерозоля конденсации),Известняк")</f>
        <v>Азота диоксид,Азота оксид (IV) в перерарасчете на (NO2),Аммиак,Ангидрид сернистый,Ацетон,Ацетальдегид,Бензин,Бензол,Бутилацетат,Водорода хлорид,4,4-дифенилметандиизоцианат,Этилацетат ,Кадмий и его неорганические соединения,Кислота уксусная,Кислота серная,Ксилол (мета-,орто-, пара-),Медь,Масла минеральные нефтяные,Метилметакрилат,Никель,Ртуть,Свинец и его неорганические соединения (по свинцу),Сольвент-нафта,Спирт н-бутиловый, бутиловый вторичный и третичный
,Спирт этиловий,Спирт метиловий,Спирт пропиловый,Стирол,Толуилендиизоцианат,Толуол,Уайт-спирит (в пересчете на С),Углеводороды алифатические предельные,Формальдегид,Щелочи едкие (растворы в перерасчете на NaOH),Алюминия оксид в виде аэрозоля дезинтеграции (глинозем, электрокорунд, монокорунд),Алюминия оксид с примесью свободного диоксида кремния до 15% и оксида железа до 10% ( в виде аерозоля конденсации),Известняк</v>
      </c>
      <c r="I50" s="17" t="str">
        <f>IFERROR(__xludf.DUMMYFUNCTION("""COMPUTED_VALUE"""),"")</f>
        <v/>
      </c>
      <c r="J50" s="17" t="str">
        <f>IFERROR(__xludf.DUMMYFUNCTION("""COMPUTED_VALUE"""),"")</f>
        <v/>
      </c>
      <c r="K50" s="18">
        <f>IFERROR(__xludf.DUMMYFUNCTION("""COMPUTED_VALUE"""),43425.0)</f>
        <v>43425</v>
      </c>
      <c r="L50" s="18" t="str">
        <f>IFERROR(__xludf.DUMMYFUNCTION("""COMPUTED_VALUE"""),"")</f>
        <v/>
      </c>
    </row>
    <row r="51">
      <c r="A51" s="11">
        <f t="shared" si="1"/>
        <v>48</v>
      </c>
      <c r="B51" s="16" t="str">
        <f>IFERROR(__xludf.DUMMYFUNCTION("""COMPUTED_VALUE"""),"ДП ""Західний експертно-технічний центр Держпраці""")</f>
        <v>ДП "Західний експертно-технічний центр Держпраці"</v>
      </c>
      <c r="C51" s="16" t="str">
        <f>IFERROR(__xludf.DUMMYFUNCTION("""COMPUTED_VALUE"""),"Львівська")</f>
        <v>Львівська</v>
      </c>
      <c r="D51" s="16" t="str">
        <f>IFERROR(__xludf.DUMMYFUNCTION("""COMPUTED_VALUE"""),"Львів")</f>
        <v>Львів</v>
      </c>
      <c r="E51" s="16" t="str">
        <f>IFERROR(__xludf.DUMMYFUNCTION("""COMPUTED_VALUE"""),"вул. Б. Хмельницького, 233 А")</f>
        <v>вул. Б. Хмельницького, 233 А</v>
      </c>
      <c r="F51" s="17" t="str">
        <f>IFERROR(__xludf.DUMMYFUNCTION("""COMPUTED_VALUE"""),"0322-293-22-60     0322-293-12-01     0322-293-09-05")</f>
        <v>0322-293-22-60     0322-293-12-01     0322-293-09-05</v>
      </c>
      <c r="G51" s="17" t="str">
        <f>IFERROR(__xludf.DUMMYFUNCTION("""COMPUTED_VALUE"""),"Вібрація загальна та локальна,Шум,Інфразвук,Неіонізуюче випромінювання,Мікроклімат,Освітлення,Атмосферний тиск")</f>
        <v>Вібрація загальна та локальна,Шум,Інфразвук,Неіонізуюче випромінювання,Мікроклімат,Освітлення,Атмосферний тиск</v>
      </c>
      <c r="H51" s="17" t="str">
        <f>IFERROR(__xludf.DUMMYFUNCTION("""COMPUTED_VALUE"""),"Азота диоксид,Акролеин,Амилацетат,Аммиак,Ангидрид фосфорный,Ангидрид хромовый,Бензол,Винилацетат,Водорода хлорид,Водород фтористий (в пересчете на F),Вольфрам, вольфрама карбид и силицид,Эпихлоргидрин,Этилацетат ,Этилена оксид,Кислота уксусная,Кислота сер"&amp;"ная,Кобальт и его неорганические соединения,Масла минеральные нефтяные,Натрия гидрокарбонат,Никель,Никель, никеля оксиды, сульфиды и смеси соединений никеля (файнштейн, никелевый концентрат и агломерат, оборотная пыль очистных устройств (по Ni)
,Пропилаце"&amp;"тат,Ртуть,Свинец и его неорганические соединения (по свинцу),Сода кальцинированная,Скипидар,Спирт н-бутиловый, бутиловый вторичный и третичный
,Спирт этиловий,Спирт метиловий,Спирт пропиловый,Титан и его диоксид,Углерода оксид,Фенол,Формальдегид,Хлор,Хром"&amp;"аты, бихроматы,Хрома оксид (по Cr+3),Цинка оксид,Щелочи едкие (растворы в перерасчете на NaOH),Кобальт ,Марганець в сварочном аэрозоле: (до 20% и 20-30%),Известняк,Корунд белый,Кремния диоксид аморфный в виде аэрозоля конденсации при содержании меньше 10 "&amp;"%,Кремния карбид (карборунд).,Поливинилхлорид,Полиэтилен,Зерновая,Мучная,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хл"&amp;"опчато-бумажная, хлопковая, льняная, шерстяная, пуховая и др. (с примесью диоксида кремния от 2 до 10 %),Силикатсодержащие пыли, силикаты, алюмосиликаты при содержанииасбеста от 10 до 20%
,Силикатсодержащие пыли, силикаты, алюмосиликаты асбесты природные "&amp;"(хризолит, актофиллит, эктинолит, тремолит, магнезиарфведсонит) и синтетическиеасбесты, а такжесмешанныеасбестопородныепыли при содержании в них асбестаболее 20%;
,Асбестопородные пыли при содержании в них асбеста до 10 %,Асбестоцемент неокрашенный и цве"&amp;"тной,Асбестобакелит,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с"&amp;"теклообразной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сланцевый,Антрацит с содержанием свободного диоксида кремния до 5 %,Другие ископаемые угли и "&amp;"углеродные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гидр"&amp;"ат целлюлозных волокон,Углеродные волокнистые материалы на основе гидрат полиакрилонитрильных волокон")</f>
        <v>Азота диоксид,Акролеин,Амилацетат,Аммиак,Ангидрид фосфорный,Ангидрид хромовый,Бензол,Винилацетат,Водорода хлорид,Водород фтористий (в пересчете на F),Вольфрам, вольфрама карбид и силицид,Эпихлоргидрин,Этилацетат ,Этилена оксид,Кислота уксусная,Кислота серная,Кобальт и его неорганические соединения,Масла минеральные нефтяные,Натрия гидрокарбонат,Никель,Никель, никеля оксиды, сульфиды и смеси соединений никеля (файнштейн, никелевый концентрат и агломерат, оборотная пыль очистных устройств (по Ni)
,Пропилацетат,Ртуть,Свинец и его неорганические соединения (по свинцу),Сода кальцинированная,Скипидар,Спирт н-бутиловый, бутиловый вторичный и третичный
,Спирт этиловий,Спирт метиловий,Спирт пропиловый,Титан и его диоксид,Углерода оксид,Фенол,Формальдегид,Хлор,Хроматы, бихроматы,Хрома оксид (по Cr+3),Цинка оксид,Щелочи едкие (растворы в перерасчете на NaOH),Кобальт ,Марганець в сварочном аэрозоле: (до 20% и 20-30%),Известняк,Корунд белый,Кремния диоксид аморфный в виде аэрозоля конденсации при содержании меньше 10 %,Кремния карбид (карборунд).,Поливинилхлорид,Полиэтилен,Зерновая,Мучная,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10 %),Силикатсодержащие пыли, силикаты, алюмосиликаты при содержанииасбеста от 10 до 20%
,Силикатсодержащие пыли, силикаты, алюмосиликаты асбесты природные (хризолит, актофиллит, эктинолит, тремолит, магнезиарфведсонит) и синтетическиеасбесты, а такжесмешанныеасбестопородныепыли при содержании в них асбестаболее 20%;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v>
      </c>
      <c r="I51" s="17" t="str">
        <f>IFERROR(__xludf.DUMMYFUNCTION("""COMPUTED_VALUE"""),"")</f>
        <v/>
      </c>
      <c r="J51" s="17" t="str">
        <f>IFERROR(__xludf.DUMMYFUNCTION("""COMPUTED_VALUE"""),"Важкість праці,Напруженість праці")</f>
        <v>Важкість праці,Напруженість праці</v>
      </c>
      <c r="K51" s="18">
        <f>IFERROR(__xludf.DUMMYFUNCTION("""COMPUTED_VALUE"""),43425.0)</f>
        <v>43425</v>
      </c>
      <c r="L51" s="18" t="str">
        <f>IFERROR(__xludf.DUMMYFUNCTION("""COMPUTED_VALUE"""),"")</f>
        <v/>
      </c>
    </row>
    <row r="52">
      <c r="A52" s="11">
        <f t="shared" si="1"/>
        <v>49</v>
      </c>
      <c r="B52" s="16" t="str">
        <f>IFERROR(__xludf.DUMMYFUNCTION("""COMPUTED_VALUE"""),"ДП ""Донецький експертно-технічний центр Держпраці""")</f>
        <v>ДП "Донецький експертно-технічний центр Держпраці"</v>
      </c>
      <c r="C52" s="16" t="str">
        <f>IFERROR(__xludf.DUMMYFUNCTION("""COMPUTED_VALUE"""),"Донецька")</f>
        <v>Донецька</v>
      </c>
      <c r="D52" s="16" t="str">
        <f>IFERROR(__xludf.DUMMYFUNCTION("""COMPUTED_VALUE"""),"Мирноград")</f>
        <v>Мирноград</v>
      </c>
      <c r="E52" s="16" t="str">
        <f>IFERROR(__xludf.DUMMYFUNCTION("""COMPUTED_VALUE"""),"вул. Коржова, 16")</f>
        <v>вул. Коржова, 16</v>
      </c>
      <c r="F52" s="17" t="str">
        <f>IFERROR(__xludf.DUMMYFUNCTION("""COMPUTED_VALUE"""),"050-425-07-00       6239-6-02-00")</f>
        <v>050-425-07-00       6239-6-02-00</v>
      </c>
      <c r="G52" s="17" t="str">
        <f>IFERROR(__xludf.DUMMYFUNCTION("""COMPUTED_VALUE"""),"Вібрація загальна та локальна,Шум,Мікроклімат,Освітлення,Атмосферний тиск")</f>
        <v>Вібрація загальна та локальна,Шум,Мікроклімат,Освітлення,Атмосферний тиск</v>
      </c>
      <c r="H52" s="17" t="str">
        <f>IFERROR(__xludf.DUMMYFUNCTION("""COMPUTED_VALUE"""),"Азота диоксид,Аммиак,Ангидрид сернистый,Сероводород,Сода кальцинированная,Углерода оксид,Кремния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содержании"&amp;"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др.),Зерновая,Мучная, древесная и др. (с примесью диоксида "&amp;"кремния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10 %),Асбест"&amp;"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цветной,Слюды, тальк, талькопородные пыли содержащие до 10% свободно"&amp;"го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каолиновый,Коксы каменноугольный, пековый, нефтяной, сланцевый,Антрацит с содержанием свободного ди"&amp;"оксида кремния до 5 %,Другие ископаемые угли и углеродные пыли с содержанием свободного диоксида кремния до 5%, от 5% до 10%,Сажи черные промышленные с содержанием бензапирена не более 35 мг на 1 кг,Углеродные волокнистые материалы на основе гидрат целлюл"&amp;"озных волокон,Углеродные волокнистые материалы на основе гидрат полиакрилонитрильных волокон")</f>
        <v>Азота диоксид,Аммиак,Ангидрид сернистый,Сероводород,Сода кальцинированная,Углерода оксид,Кремния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v>
      </c>
      <c r="I52" s="17" t="str">
        <f>IFERROR(__xludf.DUMMYFUNCTION("""COMPUTED_VALUE"""),"")</f>
        <v/>
      </c>
      <c r="J52" s="17" t="str">
        <f>IFERROR(__xludf.DUMMYFUNCTION("""COMPUTED_VALUE"""),"Важкість праці,Напруженість праці")</f>
        <v>Важкість праці,Напруженість праці</v>
      </c>
      <c r="K52" s="18">
        <f>IFERROR(__xludf.DUMMYFUNCTION("""COMPUTED_VALUE"""),43430.0)</f>
        <v>43430</v>
      </c>
      <c r="L52" s="18" t="str">
        <f>IFERROR(__xludf.DUMMYFUNCTION("""COMPUTED_VALUE"""),"")</f>
        <v/>
      </c>
    </row>
    <row r="53">
      <c r="A53" s="11">
        <f t="shared" si="1"/>
        <v>50</v>
      </c>
      <c r="B53" s="16" t="str">
        <f>IFERROR(__xludf.DUMMYFUNCTION("""COMPUTED_VALUE"""),"ПАТ ""ІНТЕРПАЙП Нижньодніпровський трубопрокатний завод"" лабораторія промислової санітарії та екології")</f>
        <v>ПАТ "ІНТЕРПАЙП Нижньодніпровський трубопрокатний завод" лабораторія промислової санітарії та екології</v>
      </c>
      <c r="C53" s="16" t="str">
        <f>IFERROR(__xludf.DUMMYFUNCTION("""COMPUTED_VALUE"""),"Дніпропетровська")</f>
        <v>Дніпропетровська</v>
      </c>
      <c r="D53" s="16" t="str">
        <f>IFERROR(__xludf.DUMMYFUNCTION("""COMPUTED_VALUE"""),"Дніпро")</f>
        <v>Дніпро</v>
      </c>
      <c r="E53" s="16" t="str">
        <f>IFERROR(__xludf.DUMMYFUNCTION("""COMPUTED_VALUE"""),"вул. Столєтова, 21")</f>
        <v>вул. Столєтова, 21</v>
      </c>
      <c r="F53" s="17" t="str">
        <f>IFERROR(__xludf.DUMMYFUNCTION("""COMPUTED_VALUE"""),"056-35-85-80         056-35-98-47       056-35-98-40")</f>
        <v>056-35-85-80         056-35-98-47       056-35-98-40</v>
      </c>
      <c r="G53" s="17" t="str">
        <f>IFERROR(__xludf.DUMMYFUNCTION("""COMPUTED_VALUE"""),"Вібрація загальна та локальна,Шум,Неіонізуюче випромінювання,Мікроклімат,Освітлення,Атмосферний тиск")</f>
        <v>Вібрація загальна та локальна,Шум,Неіонізуюче випромінювання,Мікроклімат,Освітлення,Атмосферний тиск</v>
      </c>
      <c r="H53" s="17" t="str">
        <f>IFERROR(__xludf.DUMMYFUNCTION("""COMPUTED_VALUE"""),"Азота диоксид,Азота оксид (IV) в перерарасчете на (NO2),Аммиак,Ангидрид сернистый,Ангидрид фосфорный,Ангидрид хромовый,Ацетон,Бензол,Ванадий и его соединения,Водорода хлорид,Водород фтористий (в пересчете на F),Электрокорунд, электрокорунд хромистый,Кисло"&amp;"та серная,Ксилол (мета-,орто-, пара-),Марганца оксиды (в пересчете на MnO2) аэрозоль дезинтеграции,Марганца оксиды (в пересчете на MnO2) аэрозоль конденсации,Масла минеральные нефтяные,Натрия хлорид,Никеля соли в виде гидроаэрозоля (по Ni),Никель, никеля "&amp;"оксиды, сульфиды и смеси соединений никеля (файнштейн, никелевый концентрат и агломерат, оборотная пыль очистных устройств (по Ni)
,Озон,Сероводород,Свинец и его неорганические соединения (по свинцу),Толуол,Углеводороды алифатические предельные,Углерода о"&amp;"ксид,Феррохром металлический (сплав хрома 65% с железом),Фтористоводородной кислоты соли (по F):
 фториды натрия, калия, аммония, цинка, олова, серебра, лития и бария, криолит, гидрофторид аммония,Фтористоводородной кислоты соли (по F) фториды алюминия, м"&amp;"агния, кальция, стронция, меди, хрома,Хлор,Хрома оксид (по Cr+3),Щелочи едкие (растворы в перерасчете на NaOH),Марганець в сварочном аэрозоле: (до 20% и 20-30%),Доломит,Дунитоперидотитовые пески,Известняк,Кремния диоксид аморфный в виде аэрозоля конденсац"&amp;"ии при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кристаллический (кварц, кристобелит, тридимит) при с"&amp;"одержании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кукер"&amp;"ситные сланцы, медно сульфидные руды и др.),Магнезит,Чугун в смесе с електрокорундом до 20%,Шамотнографитовые огнеупоры,Зерновая,Мучная, древесная и др. (с примесью диоксида кремния меньше 2 %),Лубяная, хлопчато-бумажная, хлопковая, льняная, шерстяная, пу"&amp;"ховая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а"&amp;"сбеста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с"&amp;"одержащие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пек"&amp;"овый,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металлизированый,Углеродные в"&amp;"олокнистые материалы на основе гидрат целлюлозных волокон,Углеродные волокнистые материалы на основе гидрат полиакрилонитрильных волокон")</f>
        <v>Азота диоксид,Азота оксид (IV) в перерарасчете на (NO2),Аммиак,Ангидрид сернистый,Ангидрид фосфорный,Ангидрид хромовый,Ацетон,Бензол,Ванадий и его соединения,Водорода хлорид,Водород фтористий (в пересчете на F),Электрокорунд, электрокорунд хромистый,Кислота серная,Ксилол (мета-,орто-, пара-),Марганца оксиды (в пересчете на MnO2) аэрозоль дезинтеграции,Марганца оксиды (в пересчете на MnO2) аэрозоль конденсации,Масла минеральные нефтяные,Натрия хлорид,Никеля соли в виде гидроаэрозоля (по Ni),Никель, никеля оксиды, сульфиды и смеси соединений никеля (файнштейн, никелевый концентрат и агломерат, оборотная пыль очистных устройств (по Ni)
,Озон,Сероводород,Свинец и его неорганические соединения (по свинцу),Толуол,Углеводороды алифатические предельные,Углерода оксид,Феррохром металлический (сплав хрома 65% с железом),Фтористоводородной кислоты соли (по F):
 фториды натрия, калия, аммония, цинка, олова, серебра, лития и бария, криолит, гидрофторид аммония,Фтористоводородной кислоты соли (по F) фториды алюминия, магния, кальция, стронция, меди, хрома,Хлор,Хрома оксид (по Cr+3),Щелочи едкие (растворы в перерасчете на NaOH),Марганець в сварочном аэрозоле: (до 20% и 20-30%),Доломит,Дунитоперидотитовые пески,Известняк,Кремния диоксид аморфный в виде аэрозоля конденсации при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др.),Магнезит,Чугун в смесе с електрокорундом до 20%,Шамотнографитовые огнеупоры,Зерновая,Мучная,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v>
      </c>
      <c r="I53" s="17" t="str">
        <f>IFERROR(__xludf.DUMMYFUNCTION("""COMPUTED_VALUE"""),"")</f>
        <v/>
      </c>
      <c r="J53" s="17" t="str">
        <f>IFERROR(__xludf.DUMMYFUNCTION("""COMPUTED_VALUE"""),"Важкість праці,Напруженість праці")</f>
        <v>Важкість праці,Напруженість праці</v>
      </c>
      <c r="K53" s="18">
        <f>IFERROR(__xludf.DUMMYFUNCTION("""COMPUTED_VALUE"""),43430.0)</f>
        <v>43430</v>
      </c>
      <c r="L53" s="18" t="str">
        <f>IFERROR(__xludf.DUMMYFUNCTION("""COMPUTED_VALUE"""),"")</f>
        <v/>
      </c>
    </row>
    <row r="54">
      <c r="A54" s="11">
        <f t="shared" si="1"/>
        <v>51</v>
      </c>
      <c r="B54" s="16" t="str">
        <f>IFERROR(__xludf.DUMMYFUNCTION("""COMPUTED_VALUE"""),"Білоцерківський міськрайонний відділ лабораторних досліджень ДУ ""Київський обласний лабораторний центр МОЗ України""")</f>
        <v>Білоцерківський міськрайонний відділ лабораторних досліджень ДУ "Київський обласний лабораторний центр МОЗ України"</v>
      </c>
      <c r="C54" s="16" t="str">
        <f>IFERROR(__xludf.DUMMYFUNCTION("""COMPUTED_VALUE"""),"Київська")</f>
        <v>Київська</v>
      </c>
      <c r="D54" s="16" t="str">
        <f>IFERROR(__xludf.DUMMYFUNCTION("""COMPUTED_VALUE"""),"Біла Церква")</f>
        <v>Біла Церква</v>
      </c>
      <c r="E54" s="16" t="str">
        <f>IFERROR(__xludf.DUMMYFUNCTION("""COMPUTED_VALUE"""),"вул. Павліченко, 9")</f>
        <v>вул. Павліченко, 9</v>
      </c>
      <c r="F54" s="17" t="str">
        <f>IFERROR(__xludf.DUMMYFUNCTION("""COMPUTED_VALUE"""),"04563-39-26-84     04563-39-25-65")</f>
        <v>04563-39-26-84     04563-39-25-65</v>
      </c>
      <c r="G54" s="17" t="str">
        <f>IFERROR(__xludf.DUMMYFUNCTION("""COMPUTED_VALUE"""),"Вібрація загальна та локальна,Шум,Неіонізуюче випромінювання,Іонізуюче випромінювання,Мікроклімат,Освітлення,Атмосферний тиск")</f>
        <v>Вібрація загальна та локальна,Шум,Неіонізуюче випромінювання,Іонізуюче випромінювання,Мікроклімат,Освітлення,Атмосферний тиск</v>
      </c>
      <c r="H54" s="17" t="str">
        <f>IFERROR(__xludf.DUMMYFUNCTION("""COMPUTED_VALUE"""),"Азота диоксид,Алюминия  оксид в смеси со сплавом никеля до 15% (электрокорунд),Аминопласты (пресс-порошки),Аммиак,Ангидрид сернистый,Ангидрид хромовый,Ацетон,Бензин,Бензол,Бутилацетат,Ванадий и его соединения,Водорода хлорид,Вулканизационные газы шинного "&amp;"производства (резины на основе СКИ-3, СКД, СКС-30, АРКМ-15) по суммарному содержанию аминосоединений в воздухе,Электрокорунд, электрокорунд хромистый,Эпихлоргидрин,Этилацетат ,Капрон,Кислота уксусная,Керамика,Керосин,Кислота серная,Ксилол (мета-,орто-, па"&amp;"ра-),Медь,Масла минеральные нефтяные,Нефрас С 150/200 (в пересчете на С),Озон,Полиамидные пресс-порошки ПМ-69, ПАИ-1,Ртуть,Сера элементарная,Сероводород,Свинец и его неорганические соединения (по свинцу),Сода кальцинированная,Синтетические моющие средства"&amp;" „Лотос”,”Ера”,”Ока” ,Скипидар,Спирт этиловий,Спирт изопропиловый,Стирол,Сурьма,Толуол,Уайт-спирит (в пересчете на С),Углеводороды алифатические предельные,Углерода оксид,Фенол,Феррит бариевый,Феррит магниймарганцевый,Феррит марганеццинковый,Феррит никель"&amp;"медный,Феррит никельцинковый,Формальдегид,Фенолформальдегидные смолы формальдегиду,Фенопласты,Хлор,Хрома оксид (по Cr+6),Цинка оксид,Щелочи едкие (растворы в перерасчете на NaOH),Алюминия оксид в виде аэрозоля дезинтеграции (глинозем, электрокорунд, монок"&amp;"орунд),Марганець в сварочном аэрозоле: (до 20% и 20-30%),Амилаза бактериальная,Барит,Белкововитаминный концентрат (по белку),Бора карбид,N,N-Диэтил-N,N-дифенилтиурамдисульфид (тиурам ЭФ),Дрожжи кормовые сухие, выращенные на послеспиртовой барде,Железа пен"&amp;"такарбонил,Железный агломерат,Железорудные окатыши,Известняк,Изопропиламинодифениламин,Корунд белый,Кремния диоксид аморфный в виде аэрозоля дезинтеграции (диатомит, кварцевое стекло, плавленый кварц, трепел);,Кремния диоксид кристаллический (кварц, крист"&amp;"обелит,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2"&amp;" до 10 % (горючие кукерситные сланцы, медно сульфидные руды и др.),Поливинилхлорид,Полиэтилен,Молибдена растворимые соединения в виде пыли,Тетраметилтиурамдисульфид (тиурам Д, ТМТД),Чугун в смесе с електрокорундом до 20%,Зерновая,Мучная, древесная и др. ("&amp;"с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"&amp;"от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с"&amp;"теклообразные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апати"&amp;"т, форстерит, глина, шамот каолиновый,Цеолиты (природные и искусственные)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диок"&amp;"сида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волокнистые"&amp;" материалы на основе гидрат полиакрилонитрильных волокон")</f>
        <v>Азота диоксид,Алюминия  оксид в смеси со сплавом никеля до 15% (электрокорунд),Аминопласты (пресс-порошки),Аммиак,Ангидрид сернистый,Ангидрид хромовый,Ацетон,Бензин,Бензол,Бутилацетат,Ванадий и его соединения,Водорода хлорид,Вулканизационные газы шинного производства (резины на основе СКИ-3, СКД, СКС-30, АРКМ-15) по суммарному содержанию аминосоединений в воздухе,Электрокорунд, электрокорунд хромистый,Эпихлоргидрин,Этилацетат ,Капрон,Кислота уксусная,Керамика,Керосин,Кислота серная,Ксилол (мета-,орто-, пара-),Медь,Масла минеральные нефтяные,Нефрас С 150/200 (в пересчете на С),Озон,Полиамидные пресс-порошки ПМ-69, ПАИ-1,Ртуть,Сера элементарная,Сероводород,Свинец и его неорганические соединения (по свинцу),Сода кальцинированная,Синтетические моющие средства „Лотос”,”Ера”,”Ока” ,Скипидар,Спирт этиловий,Спирт изопропиловый,Стирол,Сурьма,Толуол,Уайт-спирит (в пересчете на С),Углеводороды алифатические предельные,Углерода оксид,Фенол,Феррит бариевый,Феррит магниймарганцевый,Феррит марганеццинковый,Феррит никельмедный,Феррит никельцинковый,Формальдегид,Фенолформальдегидные смолы формальдегиду,Фенопласты,Хлор,Хрома оксид (по Cr+6),Цинка оксид,Щелочи едкие (растворы в перерасчете на NaOH),Алюминия оксид в виде аэрозоля дезинтеграции (глинозем, электрокорунд, монокорунд),Марганець в сварочном аэрозоле: (до 20% и 20-30%),Амилаза бактериальная,Барит,Белкововитаминный концентрат (по белку),Бора карбид,N,N-Диэтил-N,N-дифенилтиурамдисульфид (тиурам ЭФ),Дрожжи кормовые сухие, выращенные на послеспиртовой барде,Железа пентакарбонил,Железный агломерат,Железорудные окатыши,Известняк,Изопропиламинодифениламин,Корунд белый,Кремния диоксид аморфный в виде аэрозоля дезинтеграции (диатомит, кварцевое стекло, плавленый кварц, трепел);,Кремния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др.),Поливинилхлорид,Полиэтилен,Молибдена растворимые соединения в виде пыли,Тетраметилтиурамдисульфид (тиурам Д, ТМТД),Чугун в смесе с електрокорундом до 20%,Зерновая,Мучная,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v>
      </c>
      <c r="I54" s="17" t="str">
        <f>IFERROR(__xludf.DUMMYFUNCTION("""COMPUTED_VALUE"""),"")</f>
        <v/>
      </c>
      <c r="J54" s="17" t="str">
        <f>IFERROR(__xludf.DUMMYFUNCTION("""COMPUTED_VALUE"""),"Важкість праці,Напруженість праці")</f>
        <v>Важкість праці,Напруженість праці</v>
      </c>
      <c r="K54" s="18">
        <f>IFERROR(__xludf.DUMMYFUNCTION("""COMPUTED_VALUE"""),43430.0)</f>
        <v>43430</v>
      </c>
      <c r="L54" s="18" t="str">
        <f>IFERROR(__xludf.DUMMYFUNCTION("""COMPUTED_VALUE"""),"")</f>
        <v/>
      </c>
    </row>
    <row r="55">
      <c r="A55" s="11">
        <f t="shared" si="1"/>
        <v>52</v>
      </c>
      <c r="B55" s="16" t="str">
        <f>IFERROR(__xludf.DUMMYFUNCTION("""COMPUTED_VALUE"""),"Науково-дослідна лабораторія з охорони праці та навколишнього середовища Полтавського національного технічного університету ім. Юрія Кондратюка")</f>
        <v>Науково-дослідна лабораторія з охорони праці та навколишнього середовища Полтавського національного технічного університету ім. Юрія Кондратюка</v>
      </c>
      <c r="C55" s="16" t="str">
        <f>IFERROR(__xludf.DUMMYFUNCTION("""COMPUTED_VALUE"""),"Полтавська")</f>
        <v>Полтавська</v>
      </c>
      <c r="D55" s="16" t="str">
        <f>IFERROR(__xludf.DUMMYFUNCTION("""COMPUTED_VALUE"""),"Полтава")</f>
        <v>Полтава</v>
      </c>
      <c r="E55" s="16" t="str">
        <f>IFERROR(__xludf.DUMMYFUNCTION("""COMPUTED_VALUE"""),"Першотравневий проспект, 24, к. 207-Л")</f>
        <v>Першотравневий проспект, 24, к. 207-Л</v>
      </c>
      <c r="F55" s="17" t="str">
        <f>IFERROR(__xludf.DUMMYFUNCTION("""COMPUTED_VALUE"""),"050-708-60-41")</f>
        <v>050-708-60-41</v>
      </c>
      <c r="G55" s="17" t="str">
        <f>IFERROR(__xludf.DUMMYFUNCTION("""COMPUTED_VALUE"""),"Вібрація загальна та локальна,Шум,Інфразвук,Мікроклімат,Освітлення")</f>
        <v>Вібрація загальна та локальна,Шум,Інфразвук,Мікроклімат,Освітлення</v>
      </c>
      <c r="H55" s="17" t="str">
        <f>IFERROR(__xludf.DUMMYFUNCTION("""COMPUTED_VALUE"""),"Азота диоксид,Азота оксид (IV) в перерарасчете на (NO2),Алюминий и його сплавы,Амилацетат,Аммиак,Ангидрид борный,Ангидрид серный,Ангидрид хромовый,Ацетон,Ацетальдегид,Бензин,Бензол,Бутилацетат,Винилацетат,Водорода хлорид,Водород фтористий (в пересчете на "&amp;"F),Вольфрам, вольфрама карбид и силицид,Зола горючих сланцев,Этилацетат ,Этилена оксид,Кадмий и его неорганические соединения,Капролактам ,Кислота борная,Кислота акриловая,Кислота уксусная,Керосин,Кислота серная,Кобальт и его неорганические соединения,Коб"&amp;"альта оксид,Медь,Марганца оксиды (в пересчете на MnO2) аэрозоль дезинтеграции,Марганца оксиды (в пересчете на MnO2) аэрозоль конденсации,Натрия гидрокарбонат,Никель,Никеля соли в виде гидроаэрозоля (по Ni),Озон,Пропилена оксид,Пропилацетат,Ртуть,Сероводор"&amp;"од,Сероуглерод,Свинец и его неорганические соединения (по свинцу),Сода кальцинированная,Синтетические моющие средства „Лотос”,”Ера”,”Ока” ,Спирт этиловий,Спирт метиловий,Спирт пропиловый,Трихлорэтилен,Толуол,Углеводороды алифатические предельные,Углерода "&amp;"оксид,Фенол,Формальдегид,Хлор,Хроматы, бихроматы,Хрома оксид (по Cr+3),Цинка оксид,Чай,Щелочи едкие (растворы в перерасчете на NaOH),Алюминий и его сплавы (в перерасчете на алюминий),Алюминия оксид в виде аэрозоля дезинтеграции (глинозем, электрокорунд, м"&amp;"онокорунд),Алюминия оксид с примесью свободного диоксида кремния до 15% и оксида железа до 10% ( в виде аерозоля конденсации),Алюминия оксид с примесью диоксида кремния ( в виде аерозоля конденсации),Марганець в сварочном аэрозоле: (до 20% и 20-30%),Аэрос"&amp;"ил, модифицированный бутиловым спиртом (бутосил),Железный агломерат,Известняк,Корунд белый,Кремния диоксид аморфный в виде аэрозоля конденсации при содержании: больше 60 %,Кремния диоксид аморфный в виде аэрозоля конденсации при содержании 60-10 %,Кремния"&amp;" диоксид аморфный в виде аэрозоля конденсации при содержании меньше 10 %,Кремния диоксид аморфный в виде аэрозоля дезинтеграции (диатомит, кварцевое стекло, плавленый кварц, трепел);,Кремния диоксид кристаллический (кварц, кристобелит, тридимит) при содер"&amp;"жании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кукерситн"&amp;"ые сланцы, медно сульфидные руды и др.),Кремния карбид (карборунд).,Кремнемедистый сплав,Люминофоры,Чугун в смесе с електрокорундом до 20%,Зерновая,Мучная, древесная и др. (с примесью диоксида кремния меньше 2 %),Лубяная, хлопчато-бумажная, хлопковая, льн"&amp;"яная,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при"&amp;"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та"&amp;"лькопородные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,Табак,К"&amp;"оксы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мета"&amp;"ллизированый,Сажи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f>
        <v>Азота диоксид,Азота оксид (IV) в перерарасчете на (NO2),Алюминий и його сплавы,Амилацетат,Аммиак,Ангидрид борный,Ангидрид серный,Ангидрид хромовый,Ацетон,Ацетальдегид,Бензин,Бензол,Бутилацетат,Винилацетат,Водорода хлорид,Водород фтористий (в пересчете на F),Вольфрам, вольфрама карбид и силицид,Зола горючих сланцев,Этилацетат ,Этилена оксид,Кадмий и его неорганические соединения,Капролактам ,Кислота борная,Кислота акриловая,Кислота уксусная,Керосин,Кислота серная,Кобальт и его неорганические соединения,Кобальта оксид,Медь,Марганца оксиды (в пересчете на MnO2) аэрозоль дезинтеграции,Марганца оксиды (в пересчете на MnO2) аэрозоль конденсации,Натрия гидрокарбонат,Никель,Никеля соли в виде гидроаэрозоля (по Ni),Озон,Пропилена оксид,Пропилацетат,Ртуть,Сероводород,Сероуглерод,Свинец и его неорганические соединения (по свинцу),Сода кальцинированная,Синтетические моющие средства „Лотос”,”Ера”,”Ока” ,Спирт этиловий,Спирт метиловий,Спирт пропиловый,Трихлорэтилен,Толуол,Углеводороды алифатические предельные,Углерода оксид,Фенол,Формальдегид,Хлор,Хроматы, бихроматы,Хрома оксид (по Cr+3),Цинка оксид,Чай,Щелочи едкие (растворы в перерасчете на NaOH),Алюминий и его сплавы (в перерасчете на алюминий),Алюминия оксид в виде аэрозоля дезинтеграции (глинозем, электрокорунд, монокорунд),Алюминия оксид с примесью свободного диоксида кремния до 15% и оксида железа до 10% ( в виде аерозоля конденсации),Алюминия оксид с примесью диоксида кремния ( в виде аерозоля конденсации),Марганець в сварочном аэрозоле: (до 20% и 20-30%),Аэросил, модифицированный бутиловым спиртом (бутосил),Железный агломерат,Известняк,Корунд белый,Кремния диоксид аморфный в виде аэрозоля конденсации при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аморфный в виде аэрозоля дезинтеграции (диатомит, кварцевое стекло, плавленый кварц, трепел);,Кремния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др.),Кремния карбид (карборунд).,Кремнемедистый сплав,Люминофоры,Чугун в смесе с електрокорундом до 20%,Зерновая,Мучная,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,Табак,Коксы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v>
      </c>
      <c r="I55" s="17" t="str">
        <f>IFERROR(__xludf.DUMMYFUNCTION("""COMPUTED_VALUE"""),"")</f>
        <v/>
      </c>
      <c r="J55" s="17" t="str">
        <f>IFERROR(__xludf.DUMMYFUNCTION("""COMPUTED_VALUE"""),"Важкість праці,Напруженість праці")</f>
        <v>Важкість праці,Напруженість праці</v>
      </c>
      <c r="K55" s="18">
        <f>IFERROR(__xludf.DUMMYFUNCTION("""COMPUTED_VALUE"""),43431.0)</f>
        <v>43431</v>
      </c>
      <c r="L55" s="18" t="str">
        <f>IFERROR(__xludf.DUMMYFUNCTION("""COMPUTED_VALUE"""),"")</f>
        <v/>
      </c>
    </row>
    <row r="56">
      <c r="A56" s="11">
        <f t="shared" si="1"/>
        <v>53</v>
      </c>
      <c r="B56" s="16" t="str">
        <f>IFERROR(__xludf.DUMMYFUNCTION("""COMPUTED_VALUE"""),"ТОВ ""Компанія ""Центр ЛТД"" ")</f>
        <v>ТОВ "Компанія "Центр ЛТД" </v>
      </c>
      <c r="C56" s="16" t="str">
        <f>IFERROR(__xludf.DUMMYFUNCTION("""COMPUTED_VALUE"""),"Львівська")</f>
        <v>Львівська</v>
      </c>
      <c r="D56" s="16" t="str">
        <f>IFERROR(__xludf.DUMMYFUNCTION("""COMPUTED_VALUE"""),"Львів")</f>
        <v>Львів</v>
      </c>
      <c r="E56" s="16" t="str">
        <f>IFERROR(__xludf.DUMMYFUNCTION("""COMPUTED_VALUE"""),"вул. Академіка Сахарова, 41")</f>
        <v>вул. Академіка Сахарова, 41</v>
      </c>
      <c r="F56" s="17" t="str">
        <f>IFERROR(__xludf.DUMMYFUNCTION("""COMPUTED_VALUE"""),"094-843-07-08")</f>
        <v>094-843-07-08</v>
      </c>
      <c r="G56" s="17" t="str">
        <f>IFERROR(__xludf.DUMMYFUNCTION("""COMPUTED_VALUE"""),"Вібрація загальна та локальна,Шум,Інфразвук,Неіонізуюче випромінювання,Іонізуюче випромінювання,Мікроклімат,Освітлення,Атмосферний тиск")</f>
        <v>Вібрація загальна та локальна,Шум,Інфразвук,Неіонізуюче випромінювання,Іонізуюче випромінювання,Мікроклімат,Освітлення,Атмосферний тиск</v>
      </c>
      <c r="H56" s="17" t="str">
        <f>IFERROR(__xludf.DUMMYFUNCTION("""COMPUTED_VALUE"""),"Азота диоксид,Азота оксид (IV) в перерарасчете на (NO2),Акрилонитрил,Акролеин,Акриламид,Алюминий и його сплавы,Амилацетат,Аммиак,Аммония хлорид,Ангидрид борный,Ангидрид малеиновый,Ангидрид масляный,Ангидрид нафталевый,Ангидрид серный,Ангидрид сернистый,Ан"&amp;"гидрид фосфорный,Ангидрид хромовый,Анилин,Ацетон,Ацетальдегид,Бензальдегид,Бензин,Бензол,Бром,1,3-Бутадиен (дивинил),Бутан,Бутилацетат,Бутиловый эфир этиленгликоля,Ванадий и его соединения,Винилацетат,Винила хлорид,Водорода хлорид,Водорода цианид,Водород "&amp;"мышьяковистый (арсин),Водород фосфористый (фосфин),Водород фтористий (в пересчете на F),Вулканизационные газы шинного производства (резины на основе СКИ-3, СКД, СКС-30, АРКМ-15) по суммарному содержанию аминосоединений в воздухе,Гексабромбензол,Гексан,Диб"&amp;"утилфталат,Диметиламин,Диметилформамид,Динитробензол,Динитротолуол,Дихлорэтан,Диэтиловый эфир,Зола горючих сланцев,Йод,Электрокорунд, электрокорунд хромистый,Эпихлоргидрин,Этилацетат ,Кадмий и его неорганические соединения,Камфора,Капролактам ,Карбамид (м"&amp;"очевина),Кислота азотная,Кислота борная,Кислота акриловая,Кислота муравьиная,Кислота уксусная,Кислота серная,Кобальт и его неорганические соединения,Крезол,Ксилол (мета-,орто-, пара-),Медь,Марганца оксиды (в пересчете на MnO2) аэрозоль дезинтеграции,Марга"&amp;"нца оксиды (в пересчете на MnO2) аэрозоль конденсации,Масла минеральные нефтяные,Метилакрилат,Метилмеркаптан,Мышьяка неорганические соединения (по мышьяку),Натрия гидрокарбонат,Натрия сульфид,Натрия хлорид,Никель, никеля оксиды, сульфиды и смеси соединени"&amp;"й никеля (файнштейн, никелевый концентрат и агломерат, оборотная пыль очистных устройств (по Ni)
,Озон,Пропилен,Пропилена оксид,Пропилацетат,Ртуть,Ртути неорганические соединения (по ртути),Сера элементарная,Сероводород,Сероуглерод,Свинец и его неорганиче"&amp;"ские соединения (по свинцу),Сода кальцинированная,Сольвент-нафта,Синтетические моющие средства „Лотос”,”Ера”,”Ока” ,Скипидар,Спирт н-бутиловый, бутиловый вторичный и третичный
,Спирт этиловий,Спирт пропиловый,Спирт изобутиловый,Спирт изопропиловый,Спирт ф"&amp;"уриловый (фурфуриловый),Стирол,Тетрахлорэтилен,Тетраэтилсвинец,Трихлорэтилен,Трихлорбензол,Толуол,Уайт-спирит (в пересчете на С),Углеводороды алифатические предельные,Углерода оксид,Углерод четыреххлористый,Фенол,Формальдегид,Фенопласты,Фтористоводородной"&amp;" кислоты соли (по F):
 фториды натрия, калия, аммония, цинка, олова, серебра, лития и бария, криолит, гидрофторид аммония,Фтористоводородной кислоты соли (по F) фториды алюминия, магния, кальция, стронция, меди, хрома,Фурфурол,Хлор,Хлорбензол,Хроматы, бих"&amp;"роматы,Хрома оксид (по Cr+3),Циклогексан,Цинка оксид,Щелочи едкие (растворы в перерасчете на NaOH),Марганець в сварочном аэрозоле: (до 20% и 20-30%),Алюминия оксид в виде аэрозоля дезинтеграции (глинозем, электрокорунд, монокорунд),Известняк,Кремния диокс"&amp;"ид аморфный в виде аэрозоля конденсации при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аморфный в виде"&amp;" аэрозоля дезинтеграции (диатомит, кварцевое стекло, плавленый кварц, трепел);,Кремния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"&amp;"от 2 до 10 % (горючие кукерситные сланцы, медно сульфидные руды и др.),Кремния карбид (карборунд).,Зерновая,Мучная, древесная и др. (с примесью диоксида кремния меньше 2 %),Лубяная, хлопчато-бумажная, хлопковая, льняная, шерстяная, пуховая и др. (с примес"&amp;"ью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10 %,Ас"&amp;"бестопородные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своб"&amp;"одного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сланц"&amp;"евый,Антрацит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содерж"&amp;"анием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f>
        <v>Азота диоксид,Азота оксид (IV) в перерарасчете на (NO2),Акрилонитрил,Акролеин,Акриламид,Алюминий и його сплавы,Амилацетат,Аммиак,Аммония хлорид,Ангидрид борный,Ангидрид малеиновый,Ангидрид масляный,Ангидрид нафталевый,Ангидрид серный,Ангидрид сернистый,Ангидрид фосфорный,Ангидрид хромовый,Анилин,Ацетон,Ацетальдегид,Бензальдегид,Бензин,Бензол,Бром,1,3-Бутадиен (дивинил),Бутан,Бутилацетат,Бутиловый эфир этиленгликоля,Ванадий и его соединения,Винилацетат,Винила хлорид,Водорода хлорид,Водорода цианид,Водород мышьяковистый (арсин),Водород фосфористый (фосфин),Водород фтористий (в пересчете на F),Вулканизационные газы шинного производства (резины на основе СКИ-3, СКД, СКС-30, АРКМ-15) по суммарному содержанию аминосоединений в воздухе,Гексабромбензол,Гексан,Дибутилфталат,Диметиламин,Диметилформамид,Динитробензол,Динитротолуол,Дихлорэтан,Диэтиловый эфир,Зола горючих сланцев,Йод,Электрокорунд, электрокорунд хромистый,Эпихлоргидрин,Этилацетат ,Кадмий и его неорганические соединения,Камфора,Капролактам ,Карбамид (мочевина),Кислота азотная,Кислота борная,Кислота акриловая,Кислота муравьиная,Кислота уксусная,Кислота серная,Кобальт и его неорганические соединения,Крезол,Ксилол (мета-,орто-, пара-),Медь,Марганца оксиды (в пересчете на MnO2) аэрозоль дезинтеграции,Марганца оксиды (в пересчете на MnO2) аэрозоль конденсации,Масла минеральные нефтяные,Метилакрилат,Метилмеркаптан,Мышьяка неорганические соединения (по мышьяку),Натрия гидрокарбонат,Натрия сульфид,Натрия хлорид,Никель, никеля оксиды, сульфиды и смеси соединений никеля (файнштейн, никелевый концентрат и агломерат, оборотная пыль очистных устройств (по Ni)
,Озон,Пропилен,Пропилена оксид,Пропилацетат,Ртуть,Ртути неорганические соединения (по ртути),Сера элементарная,Сероводород,Сероуглерод,Свинец и его неорганические соединения (по свинцу),Сода кальцинированная,Сольвент-нафта,Синтетические моющие средства „Лотос”,”Ера”,”Ока” ,Скипидар,Спирт н-бутиловый, бутиловый вторичный и третичный
,Спирт этиловий,Спирт пропиловый,Спирт изобутиловый,Спирт изопропиловый,Спирт фуриловый (фурфуриловый),Стирол,Тетрахлорэтилен,Тетраэтилсвинец,Трихлорэтилен,Трихлорбензол,Толуол,Уайт-спирит (в пересчете на С),Углеводороды алифатические предельные,Углерода оксид,Углерод четыреххлористый,Фенол,Формальдегид,Фенопласты,Фтористоводородной кислоты соли (по F):
 фториды натрия, калия, аммония, цинка, олова, серебра, лития и бария, криолит, гидрофторид аммония,Фтористоводородной кислоты соли (по F) фториды алюминия, магния, кальция, стронция, меди, хрома,Фурфурол,Хлор,Хлорбензол,Хроматы, бихроматы,Хрома оксид (по Cr+3),Циклогексан,Цинка оксид,Щелочи едкие (растворы в перерасчете на NaOH),Марганець в сварочном аэрозоле: (до 20% и 20-30%),Алюминия оксид в виде аэрозоля дезинтеграции (глинозем, электрокорунд, монокорунд),Известняк,Кремния диоксид аморфный в виде аэрозоля конденсации при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аморфный в виде аэрозоля дезинтеграции (диатомит, кварцевое стекло, плавленый кварц, трепел);,Кремния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др.),Кремния карбид (карборунд).,Зерновая,Мучная,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v>
      </c>
      <c r="I56" s="17" t="str">
        <f>IFERROR(__xludf.DUMMYFUNCTION("""COMPUTED_VALUE"""),"")</f>
        <v/>
      </c>
      <c r="J56" s="17" t="str">
        <f>IFERROR(__xludf.DUMMYFUNCTION("""COMPUTED_VALUE"""),"Важкість праці,Напруженість праці")</f>
        <v>Важкість праці,Напруженість праці</v>
      </c>
      <c r="K56" s="18">
        <f>IFERROR(__xludf.DUMMYFUNCTION("""COMPUTED_VALUE"""),43437.0)</f>
        <v>43437</v>
      </c>
      <c r="L56" s="18" t="str">
        <f>IFERROR(__xludf.DUMMYFUNCTION("""COMPUTED_VALUE"""),"")</f>
        <v/>
      </c>
    </row>
    <row r="57">
      <c r="A57" s="11">
        <f t="shared" si="1"/>
        <v>54</v>
      </c>
      <c r="B57" s="16" t="str">
        <f>IFERROR(__xludf.DUMMYFUNCTION("""COMPUTED_VALUE"""),"Лабораторія експертизи умов праці")</f>
        <v>Лабораторія експертизи умов праці</v>
      </c>
      <c r="C57" s="16" t="str">
        <f>IFERROR(__xludf.DUMMYFUNCTION("""COMPUTED_VALUE"""),"Хмельницька")</f>
        <v>Хмельницька</v>
      </c>
      <c r="D57" s="16" t="str">
        <f>IFERROR(__xludf.DUMMYFUNCTION("""COMPUTED_VALUE"""),"Хмельницький")</f>
        <v>Хмельницький</v>
      </c>
      <c r="E57" s="16" t="str">
        <f>IFERROR(__xludf.DUMMYFUNCTION("""COMPUTED_VALUE"""),"вул. Чорновола, 88")</f>
        <v>вул. Чорновола, 88</v>
      </c>
      <c r="F57" s="17" t="str">
        <f>IFERROR(__xludf.DUMMYFUNCTION("""COMPUTED_VALUE"""),"0382-79-47-51      067-380-71-40")</f>
        <v>0382-79-47-51      067-380-71-40</v>
      </c>
      <c r="G57" s="17" t="str">
        <f>IFERROR(__xludf.DUMMYFUNCTION("""COMPUTED_VALUE"""),"Вібрація загальна та локальна,Шум,Неіонізуюче випромінювання,Мікроклімат,Освітлення,Атмосферний тиск")</f>
        <v>Вібрація загальна та локальна,Шум,Неіонізуюче випромінювання,Мікроклімат,Освітлення,Атмосферний тиск</v>
      </c>
      <c r="H57" s="17" t="str">
        <f>IFERROR(__xludf.DUMMYFUNCTION("""COMPUTED_VALUE"""),"Азота диоксид,Акрилонитрил,Акролеин,Алюминий и його сплавы,Аммиак,Ангидрид сернистый,Ангидрид фосфорный,Ангидрид хромовый,Ацетон,Ацетальдегид,Водорода хлорид,Водород фтористий (в пересчете на F),Дихлорэтан,Зола горючих сланцев,Эпихлоргидрин,Этиленгликоль,"&amp;"Этилацетат ,Этилена оксид,Капрон,Кислота уксусная,Кислота серная,Ксилол (мета-,орто-, пара-),Медь,Масла минеральные нефтяные,Никель, никеля оксиды, сульфиды и смеси соединений никеля (файнштейн, никелевый концентрат и агломерат, оборотная пыль очистных ус"&amp;"тройств (по Ni)
,Озон,Ртуть,Сероводород,Свинец и его неорганические соединения (по свинцу),Спирт метиловий,Толуол,Углерода оксид,Углерод четыреххлористый,Фенол,Формальдегид,Фенопласты,Феррохром металлический (сплав хрома 65% с железом),Фтористоводородной "&amp;"кислоты соли (по F):
 фториды натрия, калия, аммония, цинка, олова, серебра, лития и бария, криолит, гидрофторид аммония,Фтористоводородной кислоты соли (по F) фториды алюминия, магния, кальция, стронция, меди, хрома,Фторопласт-4,Хлор,Хроматы, бихроматы,Х"&amp;"рома оксид (по Cr+3),Цинка оксид,Щелочи едкие (растворы в перерасчете на NaOH),Марганець в сварочном аэрозоле: (до 20% и 20-30%),Алюминия оксид в виде аэрозоля дезинтеграции (глинозем, электрокорунд, монокорунд),Доломит,Известняк,Корунд белый,Кремния диок"&amp;"сид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карбид (карборунд"&amp;").,Поливинилхлорид,Полимеры и сополимеры на основе акриловых и метакриловых мономеров,Полипропилен,Полиэтилен,Магнезит,Зерновая,Мучная, древесная и др. (с примесью диоксида кремния меньше 2 %),Лубяная, хлопчато-бумажная, хлопковая, льняная, шерстяная, пух"&amp;"овая и др. (с примесью диоксида кремния более 10%),Лубяная, хлопчато-бумажная, хлопковая, льняная, шерстяная, пуховая и др. (с примесью диоксида кремния от 2 до 10 %),Силикатсодержащие пыли, силикаты, алюмосиликаты при содержании асбеста менее 10%; асбест"&amp;"оцемент,Силикатсодержащие пыли, силикаты, алюмосиликаты при содержанииасбеста от 10 до 20%
,Силикатсодержащие пыли, силикаты, алюмосиликаты асбесты природные (хризолит, актофиллит, эктинолит, тремолит, магнезиарфведсонит) и синтетическиеасбесты, а такжесм"&amp;"ешанныеасбестопородныепыли при содержании в них асбестаболее 20%;
,Асбестобакелит, асбесторезина,Слюды,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стеклообразной"&amp;" структуры,Цемент, оливин, апатит, форстерит, глина, шамот каолиновый,Стеклопластик на основе полиэфирной смолы
,Табак,Коксы каменноугольный, пековый, нефтяной, сланцевый,Антрацит с содержанием свободного диоксида кремния до 5 %,Другие ископаемые угли и у"&amp;"глеродные пыли с содержанием свободного диоксида кремния до 5%, от 5% до 10%,Сажи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н"&amp;"а основе гидрат полиакрилонитрильных волокон")</f>
        <v>Азота диоксид,Акрилонитрил,Акролеин,Алюминий и його сплавы,Аммиак,Ангидрид сернистый,Ангидрид фосфорный,Ангидрид хромовый,Ацетон,Ацетальдегид,Водорода хлорид,Водород фтористий (в пересчете на F),Дихлорэтан,Зола горючих сланцев,Эпихлоргидрин,Этиленгликоль,Этилацетат ,Этилена оксид,Капрон,Кислота уксусная,Кислота серная,Ксилол (мета-,орто-, пара-),Медь,Масла минеральные нефтяные,Никель, никеля оксиды, сульфиды и смеси соединений никеля (файнштейн, никелевый концентрат и агломерат, оборотная пыль очистных устройств (по Ni)
,Озон,Ртуть,Сероводород,Свинец и его неорганические соединения (по свинцу),Спирт метиловий,Толуол,Углерода оксид,Углерод четыреххлористый,Фенол,Формальдегид,Фенопласты,Феррохром металлический (сплав хрома 65% с железом),Фтористоводородной кислоты соли (по F):
 фториды натрия, калия, аммония, цинка, олова, серебра, лития и бария, криолит, гидрофторид аммония,Фтористоводородной кислоты соли (по F) фториды алюминия, магния, кальция, стронция, меди, хрома,Фторопласт-4,Хлор,Хроматы, бихроматы,Хрома оксид (по Cr+3),Цинка оксид,Щелочи едкие (растворы в перерасчете на NaOH),Марганець в сварочном аэрозоле: (до 20% и 20-30%),Алюминия оксид в виде аэрозоля дезинтеграции (глинозем, электрокорунд, монокорунд),Доломит,Известняк,Корунд белый,Кремния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карбид (карборунд).,Поливинилхлорид,Полимеры и сополимеры на основе акриловых и метакриловых мономеров,Полипропилен,Полиэтилен,Магнезит,Зерновая,Мучная,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10 %),Силикатсодержащие пыли, силикаты, алюмосиликаты при содержании асбеста менее 10%; асбестоцемент,Силикатсодержащие пыли, силикаты, алюмосиликаты при содержанииасбеста от 10 до 20%
,Силикатсодержащие пыли, силикаты, алюмосиликаты асбесты природные (хризолит, актофиллит, эктинолит, тремолит, магнезиарфведсонит) и синтетическиеасбесты, а такжесмешанныеасбестопородныепыли при содержании в них асбестаболее 20%;
,Асбестобакелит, асбесторезина,Слюды,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каолиновый,Стеклопластик на основе полиэфирной смолы
,Табак,Коксы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v>
      </c>
      <c r="I57" s="17" t="str">
        <f>IFERROR(__xludf.DUMMYFUNCTION("""COMPUTED_VALUE"""),"")</f>
        <v/>
      </c>
      <c r="J57" s="17" t="str">
        <f>IFERROR(__xludf.DUMMYFUNCTION("""COMPUTED_VALUE"""),"Важкість праці,Напруженість праці")</f>
        <v>Важкість праці,Напруженість праці</v>
      </c>
      <c r="K57" s="18">
        <f>IFERROR(__xludf.DUMMYFUNCTION("""COMPUTED_VALUE"""),43437.0)</f>
        <v>43437</v>
      </c>
      <c r="L57" s="18" t="str">
        <f>IFERROR(__xludf.DUMMYFUNCTION("""COMPUTED_VALUE"""),"")</f>
        <v/>
      </c>
    </row>
    <row r="58">
      <c r="A58" s="11">
        <f t="shared" si="1"/>
        <v>55</v>
      </c>
      <c r="B58" s="16" t="str">
        <f>IFERROR(__xludf.DUMMYFUNCTION("""COMPUTED_VALUE"""),"ДУ ""Рівненський обласний лабораторний центр МОЗ України""")</f>
        <v>ДУ "Рівненський обласний лабораторний центр МОЗ України"</v>
      </c>
      <c r="C58" s="16" t="str">
        <f>IFERROR(__xludf.DUMMYFUNCTION("""COMPUTED_VALUE"""),"Рівненська")</f>
        <v>Рівненська</v>
      </c>
      <c r="D58" s="16" t="str">
        <f>IFERROR(__xludf.DUMMYFUNCTION("""COMPUTED_VALUE"""),"Рівне")</f>
        <v>Рівне</v>
      </c>
      <c r="E58" s="16" t="str">
        <f>IFERROR(__xludf.DUMMYFUNCTION("""COMPUTED_VALUE"""),"вул. Котляревського, 3")</f>
        <v>вул. Котляревського, 3</v>
      </c>
      <c r="F58" s="17" t="str">
        <f>IFERROR(__xludf.DUMMYFUNCTION("""COMPUTED_VALUE"""),"0362-638-043")</f>
        <v>0362-638-043</v>
      </c>
      <c r="G58" s="17" t="str">
        <f>IFERROR(__xludf.DUMMYFUNCTION("""COMPUTED_VALUE"""),"Вібрація загальна та локальна,Шум,Мікроклімат,Освітлення,Атмосферний тиск")</f>
        <v>Вібрація загальна та локальна,Шум,Мікроклімат,Освітлення,Атмосферний тиск</v>
      </c>
      <c r="H58" s="17" t="str">
        <f>IFERROR(__xludf.DUMMYFUNCTION("""COMPUTED_VALUE"""),"Азота диоксид,Азота оксид (IV) в перерарасчете на (NO2),Аммиак,Ангидрид хромовый,Водород фтористий (в пересчете на F),Медь,Никеля соли в виде гидроаэрозоля (по Ni),Озон,Углерода оксид,Цинка оксид,Марганець в сварочном аэрозоле: (до 20% и 20-30%),Зерновая,"&amp;"Мучная,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п"&amp;"римесью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цветной,Асбестобакелит,"&amp;"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структ"&amp;"уры,Цемент, оливин, апатит, форстерит, глина, шамот каолиновый,Цеолиты (природные и искусственные)
,Коксы каменноугольный, пековый, нефтяной, сланцевый,Антрацит с содержанием свободного диоксида кремния до 5 %,Другие ископаемые угли и углеродные пыли с со"&amp;"держанием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волок"&amp;"он,Углеродные волокнистые материалы на основе гидрат полиакрилонитрильных волокон")</f>
        <v>Азота диоксид,Азота оксид (IV) в перерарасчете на (NO2),Аммиак,Ангидрид хромовый,Водород фтористий (в пересчете на F),Медь,Никеля соли в виде гидроаэрозоля (по Ni),Озон,Углерода оксид,Цинка оксид,Марганець в сварочном аэрозоле: (до 20% и 20-30%),Зерновая,Мучная,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v>
      </c>
      <c r="I58" s="17" t="str">
        <f>IFERROR(__xludf.DUMMYFUNCTION("""COMPUTED_VALUE"""),"")</f>
        <v/>
      </c>
      <c r="J58" s="17" t="str">
        <f>IFERROR(__xludf.DUMMYFUNCTION("""COMPUTED_VALUE"""),"Важкість праці,Напруженість праці")</f>
        <v>Важкість праці,Напруженість праці</v>
      </c>
      <c r="K58" s="18">
        <f>IFERROR(__xludf.DUMMYFUNCTION("""COMPUTED_VALUE"""),43438.0)</f>
        <v>43438</v>
      </c>
      <c r="L58" s="18" t="str">
        <f>IFERROR(__xludf.DUMMYFUNCTION("""COMPUTED_VALUE"""),"")</f>
        <v/>
      </c>
    </row>
    <row r="59">
      <c r="A59" s="11">
        <f t="shared" si="1"/>
        <v>56</v>
      </c>
      <c r="B59" s="16" t="str">
        <f>IFERROR(__xludf.DUMMYFUNCTION("""COMPUTED_VALUE"""),"ПрАТ ""Дніпрометиз""  лабораторія з охорони навколишнього середовища")</f>
        <v>ПрАТ "Дніпрометиз"  лабораторія з охорони навколишнього середовища</v>
      </c>
      <c r="C59" s="16" t="str">
        <f>IFERROR(__xludf.DUMMYFUNCTION("""COMPUTED_VALUE"""),"Дніпропетровська")</f>
        <v>Дніпропетровська</v>
      </c>
      <c r="D59" s="16" t="str">
        <f>IFERROR(__xludf.DUMMYFUNCTION("""COMPUTED_VALUE"""),"Дніпро")</f>
        <v>Дніпро</v>
      </c>
      <c r="E59" s="16" t="str">
        <f>IFERROR(__xludf.DUMMYFUNCTION("""COMPUTED_VALUE"""),"просп. Слобожанський, 20")</f>
        <v>просп. Слобожанський, 20</v>
      </c>
      <c r="F59" s="17" t="str">
        <f>IFERROR(__xludf.DUMMYFUNCTION("""COMPUTED_VALUE"""),"056-376-25-16      056-376-25-00")</f>
        <v>056-376-25-16      056-376-25-00</v>
      </c>
      <c r="G59" s="17" t="str">
        <f>IFERROR(__xludf.DUMMYFUNCTION("""COMPUTED_VALUE"""),"Вібрація загальна та локальна,Шум,Ультразвук,Інфразвук,Мікроклімат,Освітлення,Атмосферний тиск")</f>
        <v>Вібрація загальна та локальна,Шум,Ультразвук,Інфразвук,Мікроклімат,Освітлення,Атмосферний тиск</v>
      </c>
      <c r="H59" s="17" t="str">
        <f>IFERROR(__xludf.DUMMYFUNCTION("""COMPUTED_VALUE"""),"Азота диоксид,Азота оксид (IV) в перерарасчете на (NO2),Акролеин,Аммиак,Ангидрид серный,Ангидрид сернистый,Ангидрид фосфорный,Ангидрид хромовый,Анилин,Ацетон,Бензин,Бензол,Бутан,Бутилацетат,Винилацетат,Винила хлорид,Водорода хлорид,Гексан,Дизельное топлив"&amp;"о,Диэтиламин,Изобутилен,Этилен,Этиленгликоль,Этилбензол,Этилена оксид,Этилмеркаптан,Капролактам ,Кислота азотная,Кислота уксусная,Керосин,Кислота серная,Ксилол (мета-,орто-, пара-),Марганца оксиды (в пересчете на MnO2) аэрозоль дезинтеграции,Марганца окси"&amp;"ды (в пересчете на MnO2) аэрозоль конденсации,Масла минеральные нефтяные,Метилацетат,Метилмеркаптан,Метилстирол,Метилциклогексан,Нафталин,Нитробензол,Нефрас С 150/200 (в пересчете на С),Озон,Пентан,Пропилен,Сероводород,Сероуглерод,Свинец и его неорганичес"&amp;"кие соединения (по свинцу),Стирол,Титан и его диоксид,Тетрахлорэтилен,Триэтиламин,Толуол,Уайт-спирит (в пересчете на С),Углеводороды алифатические предельные,Углерода оксид,Фенол,Формальдегид,Хлорбензол,Циклогексан,Цинка оксид,Щелочи едкие (растворы в пер"&amp;"ерасчете на NaOH),Марганець в сварочном аэрозоле: (до 20% и 20-30%),Метилэтилкетон,Железный агломерат,Железорудные окатыши,Известняк,Кремния диоксид аморфный в виде аэрозоля конденсации при содержании: больше 60 %,Кремния диоксид аморфный в виде аэрозоля "&amp;"конденсации при содержании 60-10 %,Кремния диоксид аморфный в виде аэрозоля конденсации при содержании меньше 10 %,Кремния диоксид аморфный в виде аэрозоля дезинтеграции (диатомит, кварцевое стекло, плавленый кварц, трепел);,Кремния диоксид кристаллически"&amp;"й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содержа"&amp;"нии в пыле от 2 до 10 % (горючие кукерситные сланцы, медно сульфидные руды и др.),Поливинилхлорид,Полипропилен,Поликарбонат,Полиэтилен,Магнезит,Зерновая,Мучная, древесная и др. (с примесью диоксида кремния меньше 2 %),Лубяная, хлопчато-бумажная, хлопковая"&amp;",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пыл"&amp;"и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таль"&amp;"к,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,Ко"&amp;"ксы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метал"&amp;"лизированый,Сажи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f>
        <v>Азота диоксид,Азота оксид (IV) в перерарасчете на (NO2),Акролеин,Аммиак,Ангидрид серный,Ангидрид сернистый,Ангидрид фосфорный,Ангидрид хромовый,Анилин,Ацетон,Бензин,Бензол,Бутан,Бутилацетат,Винилацетат,Винила хлорид,Водорода хлорид,Гексан,Дизельное топливо,Диэтиламин,Изобутилен,Этилен,Этиленгликоль,Этилбензол,Этилена оксид,Этилмеркаптан,Капролактам ,Кислота азотная,Кислота уксусная,Керосин,Кислота серная,Ксилол (мета-,орто-, пара-),Марганца оксиды (в пересчете на MnO2) аэрозоль дезинтеграции,Марганца оксиды (в пересчете на MnO2) аэрозоль конденсации,Масла минеральные нефтяные,Метилацетат,Метилмеркаптан,Метилстирол,Метилциклогексан,Нафталин,Нитробензол,Нефрас С 150/200 (в пересчете на С),Озон,Пентан,Пропилен,Сероводород,Сероуглерод,Свинец и его неорганические соединения (по свинцу),Стирол,Титан и его диоксид,Тетрахлорэтилен,Триэтиламин,Толуол,Уайт-спирит (в пересчете на С),Углеводороды алифатические предельные,Углерода оксид,Фенол,Формальдегид,Хлорбензол,Циклогексан,Цинка оксид,Щелочи едкие (растворы в перерасчете на NaOH),Марганець в сварочном аэрозоле: (до 20% и 20-30%),Метилэтилкетон,Железный агломерат,Железорудные окатыши,Известняк,Кремния диоксид аморфный в виде аэрозоля конденсации при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аморфный в виде аэрозоля дезинтеграции (диатомит, кварцевое стекло, плавленый кварц, трепел);,Кремния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др.),Поливинилхлорид,Полипропилен,Поликарбонат,Полиэтилен,Магнезит,Зерновая,Мучная,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v>
      </c>
      <c r="I59" s="17" t="str">
        <f>IFERROR(__xludf.DUMMYFUNCTION("""COMPUTED_VALUE"""),"")</f>
        <v/>
      </c>
      <c r="J59" s="17" t="str">
        <f>IFERROR(__xludf.DUMMYFUNCTION("""COMPUTED_VALUE"""),"Важкість праці,Напруженість праці")</f>
        <v>Важкість праці,Напруженість праці</v>
      </c>
      <c r="K59" s="18">
        <f>IFERROR(__xludf.DUMMYFUNCTION("""COMPUTED_VALUE"""),43441.0)</f>
        <v>43441</v>
      </c>
      <c r="L59" s="18" t="str">
        <f>IFERROR(__xludf.DUMMYFUNCTION("""COMPUTED_VALUE"""),"")</f>
        <v/>
      </c>
    </row>
    <row r="60">
      <c r="A60" s="11">
        <f t="shared" si="1"/>
        <v>57</v>
      </c>
      <c r="B60" s="16" t="str">
        <f>IFERROR(__xludf.DUMMYFUNCTION("""COMPUTED_VALUE"""),"АТ ""Харківський машинобудівний завод ""Світло шахтаря"" промислово-санітарна лабораторія")</f>
        <v>АТ "Харківський машинобудівний завод "Світло шахтаря" промислово-санітарна лабораторія</v>
      </c>
      <c r="C60" s="16" t="str">
        <f>IFERROR(__xludf.DUMMYFUNCTION("""COMPUTED_VALUE"""),"Харківська")</f>
        <v>Харківська</v>
      </c>
      <c r="D60" s="16" t="str">
        <f>IFERROR(__xludf.DUMMYFUNCTION("""COMPUTED_VALUE"""),"Харків")</f>
        <v>Харків</v>
      </c>
      <c r="E60" s="16" t="str">
        <f>IFERROR(__xludf.DUMMYFUNCTION("""COMPUTED_VALUE"""),"Новобаварський р-н, вул. Світло шахтаря, 4/6")</f>
        <v>Новобаварський р-н, вул. Світло шахтаря, 4/6</v>
      </c>
      <c r="F60" s="17" t="str">
        <f>IFERROR(__xludf.DUMMYFUNCTION("""COMPUTED_VALUE"""),"057-733-89-42")</f>
        <v>057-733-89-42</v>
      </c>
      <c r="G60" s="17" t="str">
        <f>IFERROR(__xludf.DUMMYFUNCTION("""COMPUTED_VALUE"""),"Вібрація загальна та локальна,Шум,Мікроклімат,Освітлення,Атмосферний тиск")</f>
        <v>Вібрація загальна та локальна,Шум,Мікроклімат,Освітлення,Атмосферний тиск</v>
      </c>
      <c r="H60" s="17" t="str">
        <f>IFERROR(__xludf.DUMMYFUNCTION("""COMPUTED_VALUE"""),"Азота диоксид,Аммиак,Ангидрид сернистый,Ангидрид хромовый,Ацетальдегид,Водорода хлорид,Водород фтористий (в пересчете на F),Электрокорунд, электрокорунд хромистый,Кислота уксусная,Кислота серная,Медь,Масла минеральные нефтяные,Никель, никеля оксиды, сульф"&amp;"иды и смеси соединений никеля (файнштейн, никелевый концентрат и агломерат, оборотная пыль очистных устройств (по Ni)
,Озон,Сероводород,Титан и его диоксид,Углерода оксид,Формальдегид,Фенопласты,Хрома оксид (по Cr+3),Щелочи едкие (растворы в перерасчете н"&amp;"а NaOH),Марганець в сварочном аэрозоле: (до 20% и 20-30%),Чугун в смесе с електрокорундом до 20%,Асбест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до"&amp;" 10 %,Искусственные минеральные волокна силикатные и алюмосиликатные стеклообразной структуры,Цемент, оливин, апатит, форстерит, глина, шамот каолиновый,Коксы каменноугольный, пековый, нефтяной, сланцевый,Антрацит с содержанием свободного диоксида кремния"&amp;" до 5 %,Другие ископаемые угли и углеродные пыли с содержанием свободного диоксида кремния до 5%, от 5% до 10%,Алмазы природные и искусственные")</f>
        <v>Азота диоксид,Аммиак,Ангидрид сернистый,Ангидрид хромовый,Ацетальдегид,Водорода хлорид,Водород фтористий (в пересчете на F),Электрокорунд, электрокорунд хромистый,Кислота уксусная,Кислота серная,Медь,Масла минеральные нефтяные,Никель, никеля оксиды, сульфиды и смеси соединений никеля (файнштейн, никелевый концентрат и агломерат, оборотная пыль очистных устройств (по Ni)
,Озон,Сероводород,Титан и его диоксид,Углерода оксид,Формальдегид,Фенопласты,Хрома оксид (по Cr+3),Щелочи едкие (растворы в перерасчете на NaOH),Марганець в сварочном аэрозоле: (до 20% и 20-30%),Чугун в смесе с електрокорундом до 20%,Асбест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10 %,Искусственные минеральные волокна силикатные и алюмосиликатные стеклообразной структуры,Цемент, оливин, апатит, форстерит, глина, шамот каолиновый,Коксы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v>
      </c>
      <c r="I60" s="17" t="str">
        <f>IFERROR(__xludf.DUMMYFUNCTION("""COMPUTED_VALUE"""),"")</f>
        <v/>
      </c>
      <c r="J60" s="17" t="str">
        <f>IFERROR(__xludf.DUMMYFUNCTION("""COMPUTED_VALUE"""),"Важкість праці,Напруженість праці")</f>
        <v>Важкість праці,Напруженість праці</v>
      </c>
      <c r="K60" s="18">
        <f>IFERROR(__xludf.DUMMYFUNCTION("""COMPUTED_VALUE"""),43441.0)</f>
        <v>43441</v>
      </c>
      <c r="L60" s="18" t="str">
        <f>IFERROR(__xludf.DUMMYFUNCTION("""COMPUTED_VALUE"""),"")</f>
        <v/>
      </c>
    </row>
    <row r="61">
      <c r="A61" s="11">
        <f t="shared" si="1"/>
        <v>58</v>
      </c>
      <c r="B61" s="16" t="str">
        <f>IFERROR(__xludf.DUMMYFUNCTION("""COMPUTED_VALUE"""),"ДУ ""Черкаський обласний лабораторний центр МОЗ України""")</f>
        <v>ДУ "Черкаський обласний лабораторний центр МОЗ України"</v>
      </c>
      <c r="C61" s="16" t="str">
        <f>IFERROR(__xludf.DUMMYFUNCTION("""COMPUTED_VALUE"""),"Черкаська")</f>
        <v>Черкаська</v>
      </c>
      <c r="D61" s="16" t="str">
        <f>IFERROR(__xludf.DUMMYFUNCTION("""COMPUTED_VALUE"""),"Черкаси")</f>
        <v>Черкаси</v>
      </c>
      <c r="E61" s="16" t="str">
        <f>IFERROR(__xludf.DUMMYFUNCTION("""COMPUTED_VALUE"""),"вул. Волкова, 3")</f>
        <v>вул. Волкова, 3</v>
      </c>
      <c r="F61" s="17" t="str">
        <f>IFERROR(__xludf.DUMMYFUNCTION("""COMPUTED_VALUE"""),"0472-36-07-12        0472-36-07-14    0472-35-75-67")</f>
        <v>0472-36-07-12        0472-36-07-14    0472-35-75-67</v>
      </c>
      <c r="G61" s="17" t="str">
        <f>IFERROR(__xludf.DUMMYFUNCTION("""COMPUTED_VALUE"""),"Вібрація загальна та локальна,Шум,Неіонізуюче випромінювання,Мікроклімат,Освітлення")</f>
        <v>Вібрація загальна та локальна,Шум,Неіонізуюче випромінювання,Мікроклімат,Освітлення</v>
      </c>
      <c r="H61" s="17" t="str">
        <f>IFERROR(__xludf.DUMMYFUNCTION("""COMPUTED_VALUE"""),"Азота диоксид,Азота оксид (IV) в перерарасчете на (NO2),Акролеин,Алюминий и його сплавы,Аминопласты (пресс-порошки),Аммиак,Ангидрид сернистый,Ангидрид фосфорный,Ангидрид хромовый,Ацетон,Ацетальдегид,Бензин,Бензол,Бутилацетат,Водорода хлорид,Водород фторис"&amp;"тий (в пересчете на F),Гексан,Дибутилфталат,Дихлорэтан,Электрокорунд, электрокорунд хромистый,Эпихлоргидрин,Этилен,Этилцеллозольв (этиловый эфир этиленгликоля),Этиленгликоль,Этилацетат ,Этилена оксид,Этилмеркаптан,Капролактам ,Капрон,Карбамид (мочевина),К"&amp;"ислота азотная,Кислота борная,Кислота уксусная,Керамика,Керосин,Кислота серная,Лавсан,Ксилол (мета-,орто-, пара-),Медь,Масла минеральные нефтяные,Метилмеркаптан,Натрия гидрокарбонат,Натрия хлорид,Нитрон,Никеля соли в виде гидроаэрозоля (по Ni),Никель, ник"&amp;"еля оксиды, сульфиды и смеси соединений никеля (файнштейн, никелевый концентрат и агломерат, оборотная пыль очистных устройств (по Ni)
,Нитроаммофоска,Озон,Полиамидные пресс-порошки ПМ-69, ПАИ-1,Ртуть,Ртути неорганические соединения (по ртути),Сероводород"&amp;",Свинец и его неорганические соединения (по свинцу),Сода кальцинированная,Синтетические моющие средства „Лотос”,”Ера”,”Ока” ,Скипидар,Спирт н-бутиловый, бутиловый вторичный и третичный
,Спирт этиловий,Спирт метиловий,Стирол,Титан и его диоксид,Тетраметилт"&amp;"иурамдисульфид,Тетраэтилсвинец,Толуол,Уайт-спирит (в пересчете на С),Углеводороды алифатические предельные,Углерода оксид,Фенол,Формальдегид,Фтористоводородной кислоты соли (по F):
 фториды натрия, калия, аммония, цинка, олова, серебра, лития и бария, кри"&amp;"олит, гидрофторид аммония,Фтористоводородной кислоты соли (по F) фториды алюминия, магния, кальция, стронция, меди, хрома,Фторопласт-4,Хлор,Хроматы, бихроматы,Хрома оксид (по Cr+3),Цинка оксид,Щелочи едкие (растворы в перерасчете на NaOH),Алюминия оксид в"&amp;" виде аэрозоля дезинтеграции (глинозем, электрокорунд, монокорунд),Марганець в сварочном аэрозоле: (до 20% и 20-30%),Аммофос+ (смесь моно- и диаммоний фосфатов),Доломит,Железный агломерат,Известняк,Корунд белый,Кремния диоксид аморфный в виде аэрозоля кон"&amp;"денсации при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аморфный в виде аэрозоля дезинтеграции (диатом"&amp;"ит, кварцевое стекло, плавленый кварц, трепел);,Кремния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слю"&amp;"да-сирец, углепородная пыль и др.),Кремния диоксид кристаллический при содержании в пыле от 2 до 10 % (горючие кукерситные сланцы, медно сульфидные руды и др.),Кремния карбид (карборунд).,Поливинилхлорид,Полимеры и сополимеры на основе акриловых и метакри"&amp;"ловых мономеров,Полипропилен,Полиэтилен,Стиромаль,Чугун в смесе с електрокорундом до 20%,Зерновая,Мучная,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диоксид"&amp;"а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10 %,Асбестопород"&amp;"ные пыли при содержании в них асбеста до 10 %,Силикаты стеклообразные вулканического происхождения (туфы, пемза, перлит) ,Искусственные минеральные волокна силикатные и алюмосиликатные стеклообразной структуры,Цемент, оливин, апатит, форстерит, глина, шам"&amp;"от каолиновый,Цеолиты (природные и искусственные)
,Сополимеры на основе винилхлорида и винилиденхлорида
,Сополимер стирола А-метилстиролом
,Стеклопластик на основе полиэфирной смолы
,Табак,Коксы каменноугольный, пековый, нефтяной, сланцевый,Антрацит с сод"&amp;"ержанием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н"&amp;"е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волокон,Бензімідазоли,Есфенвалерати,Динітроаніліни,Дитіокарбамати,Хлорорганічні,Феніламіди,Ф"&amp;"енілпіразоли,Фосфіни,Фосфорорганічні,Синтетичні піретроїди,Похідні оксатиіна,Похідні арилокси-фенокси-пропіонової кислоти,Сим-триазини,Триазоли,Триазинони,Похідні карбомінової кислоти,Похідні неонікотиноїдів,Похідні карбонових кислот")</f>
        <v>Азота диоксид,Азота оксид (IV) в перерарасчете на (NO2),Акролеин,Алюминий и його сплавы,Аминопласты (пресс-порошки),Аммиак,Ангидрид сернистый,Ангидрид фосфорный,Ангидрид хромовый,Ацетон,Ацетальдегид,Бензин,Бензол,Бутилацетат,Водорода хлорид,Водород фтористий (в пересчете на F),Гексан,Дибутилфталат,Дихлорэтан,Электрокорунд, электрокорунд хромистый,Эпихлоргидрин,Этилен,Этилцеллозольв (этиловый эфир этиленгликоля),Этиленгликоль,Этилацетат ,Этилена оксид,Этилмеркаптан,Капролактам ,Капрон,Карбамид (мочевина),Кислота азотная,Кислота борная,Кислота уксусная,Керамика,Керосин,Кислота серная,Лавсан,Ксилол (мета-,орто-, пара-),Медь,Масла минеральные нефтяные,Метилмеркаптан,Натрия гидрокарбонат,Натрия хлорид,Нитрон,Никеля соли в виде гидроаэрозоля (по Ni),Никель, никеля оксиды, сульфиды и смеси соединений никеля (файнштейн, никелевый концентрат и агломерат, оборотная пыль очистных устройств (по Ni)
,Нитроаммофоска,Озон,Полиамидные пресс-порошки ПМ-69, ПАИ-1,Ртуть,Ртути неорганические соединения (по ртути),Сероводород,Свинец и его неорганические соединения (по свинцу),Сода кальцинированная,Синтетические моющие средства „Лотос”,”Ера”,”Ока” ,Скипидар,Спирт н-бутиловый, бутиловый вторичный и третичный
,Спирт этиловий,Спирт метиловий,Стирол,Титан и его диоксид,Тетраметилтиурамдисульфид,Тетраэтилсвинец,Толуол,Уайт-спирит (в пересчете на С),Углеводороды алифатические предельные,Углерода оксид,Фенол,Формальдегид,Фтористоводородной кислоты соли (по F):
 фториды натрия, калия, аммония, цинка, олова, серебра, лития и бария, криолит, гидрофторид аммония,Фтористоводородной кислоты соли (по F) фториды алюминия, магния, кальция, стронция, меди, хрома,Фторопласт-4,Хлор,Хроматы, бихроматы,Хрома оксид (по Cr+3),Цинка оксид,Щелочи едкие (растворы в перерасчете на NaOH),Алюминия оксид в виде аэрозоля дезинтеграции (глинозем, электрокорунд, монокорунд),Марганець в сварочном аэрозоле: (до 20% и 20-30%),Аммофос+ (смесь моно- и диаммоний фосфатов),Доломит,Железный агломерат,Известняк,Корунд белый,Кремния диоксид аморфный в виде аэрозоля конденсации при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аморфный в виде аэрозоля дезинтеграции (диатомит, кварцевое стекло, плавленый кварц, трепел);,Кремния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др.),Кремния карбид (карборунд).,Поливинилхлорид,Полимеры и сополимеры на основе акриловых и метакриловых мономеров,Полипропилен,Полиэтилен,Стиромаль,Чугун в смесе с електрокорундом до 20%,Зерновая,Мучная,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10 %,Силикаты стеклообразные вулканического происхождения (туфы, пемза, перлит) ,Искусственные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,Сополимеры на основе винилхлорида и винилиденхлорида
,Сополимер стирола А-метилстиролом
,Стеклопластик на основе полиэфирной смолы
,Табак,Коксы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волокон,Бензімідазоли,Есфенвалерати,Динітроаніліни,Дитіокарбамати,Хлорорганічні,Феніламіди,Фенілпіразоли,Фосфіни,Фосфорорганічні,Синтетичні піретроїди,Похідні оксатиіна,Похідні арилокси-фенокси-пропіонової кислоти,Сим-триазини,Триазоли,Триазинони,Похідні карбомінової кислоти,Похідні неонікотиноїдів,Похідні карбонових кислот</v>
      </c>
      <c r="I61" s="17" t="str">
        <f>IFERROR(__xludf.DUMMYFUNCTION("""COMPUTED_VALUE"""),"")</f>
        <v/>
      </c>
      <c r="J61" s="17" t="str">
        <f>IFERROR(__xludf.DUMMYFUNCTION("""COMPUTED_VALUE"""),"")</f>
        <v/>
      </c>
      <c r="K61" s="18">
        <f>IFERROR(__xludf.DUMMYFUNCTION("""COMPUTED_VALUE"""),43446.0)</f>
        <v>43446</v>
      </c>
      <c r="L61" s="18" t="str">
        <f>IFERROR(__xludf.DUMMYFUNCTION("""COMPUTED_VALUE"""),"")</f>
        <v/>
      </c>
    </row>
    <row r="62">
      <c r="A62" s="11">
        <f t="shared" si="1"/>
        <v>59</v>
      </c>
      <c r="B62" s="16" t="str">
        <f>IFERROR(__xludf.DUMMYFUNCTION("""COMPUTED_VALUE"""),"ТОВ ""Центр радіоекологічного моніторингу""")</f>
        <v>ТОВ "Центр радіоекологічного моніторингу"</v>
      </c>
      <c r="C62" s="16" t="str">
        <f>IFERROR(__xludf.DUMMYFUNCTION("""COMPUTED_VALUE"""),"Дніпропетровська")</f>
        <v>Дніпропетровська</v>
      </c>
      <c r="D62" s="16" t="str">
        <f>IFERROR(__xludf.DUMMYFUNCTION("""COMPUTED_VALUE"""),"Жовті Води")</f>
        <v>Жовті Води</v>
      </c>
      <c r="E62" s="16" t="str">
        <f>IFERROR(__xludf.DUMMYFUNCTION("""COMPUTED_VALUE"""),"вул. Гагаріна, 40 корп. 4")</f>
        <v>вул. Гагаріна, 40 корп. 4</v>
      </c>
      <c r="F62" s="17" t="str">
        <f>IFERROR(__xludf.DUMMYFUNCTION("""COMPUTED_VALUE"""),"05652-20-780       050-914-98-94")</f>
        <v>05652-20-780       050-914-98-94</v>
      </c>
      <c r="G62" s="17" t="str">
        <f>IFERROR(__xludf.DUMMYFUNCTION("""COMPUTED_VALUE"""),"Вібрація загальна та локальна,Шум,Іонізуюче випромінювання,Мікроклімат,Освітлення,Атмосферний тиск")</f>
        <v>Вібрація загальна та локальна,Шум,Іонізуюче випромінювання,Мікроклімат,Освітлення,Атмосферний тиск</v>
      </c>
      <c r="H62" s="17" t="str">
        <f>IFERROR(__xludf.DUMMYFUNCTION("""COMPUTED_VALUE"""),"Азота диоксид,Алюминий и його сплавы,Барий,Берилий,Ванадий и его соединения,Висмут и его неорганические соединения,Кадмий и его неорганические соединения,Медь,Молибден,Мышьяка неорганические соединения (по мышьяку),Селен,Серебро,Свинец и его неорганически"&amp;"е соединения (по свинцу),Титан и его диоксид,Углерода оксид,Фосфор,Хром,Цинк,Кобальт ")</f>
        <v>Азота диоксид,Алюминий и його сплавы,Барий,Берилий,Ванадий и его соединения,Висмут и его неорганические соединения,Кадмий и его неорганические соединения,Медь,Молибден,Мышьяка неорганические соединения (по мышьяку),Селен,Серебро,Свинец и его неорганические соединения (по свинцу),Титан и его диоксид,Углерода оксид,Фосфор,Хром,Цинк,Кобальт </v>
      </c>
      <c r="I62" s="17" t="str">
        <f>IFERROR(__xludf.DUMMYFUNCTION("""COMPUTED_VALUE"""),"")</f>
        <v/>
      </c>
      <c r="J62" s="17" t="str">
        <f>IFERROR(__xludf.DUMMYFUNCTION("""COMPUTED_VALUE"""),"Важкість праці,Напруженість праці")</f>
        <v>Важкість праці,Напруженість праці</v>
      </c>
      <c r="K62" s="18">
        <f>IFERROR(__xludf.DUMMYFUNCTION("""COMPUTED_VALUE"""),43446.0)</f>
        <v>43446</v>
      </c>
      <c r="L62" s="18" t="str">
        <f>IFERROR(__xludf.DUMMYFUNCTION("""COMPUTED_VALUE"""),"")</f>
        <v/>
      </c>
    </row>
    <row r="63">
      <c r="A63" s="11">
        <f t="shared" si="1"/>
        <v>60</v>
      </c>
      <c r="B63" s="16" t="str">
        <f>IFERROR(__xludf.DUMMYFUNCTION("""COMPUTED_VALUE"""),"КП виконавчого органу Київради ""Київтеплоенерго"" відділ з промислової санітарії дирекції з охорони праці та техногенної безпеки")</f>
        <v>КП виконавчого органу Київради "Київтеплоенерго" відділ з промислової санітарії дирекції з охорони праці та техногенної безпеки</v>
      </c>
      <c r="C63" s="16" t="str">
        <f>IFERROR(__xludf.DUMMYFUNCTION("""COMPUTED_VALUE"""),"Київська")</f>
        <v>Київська</v>
      </c>
      <c r="D63" s="16" t="str">
        <f>IFERROR(__xludf.DUMMYFUNCTION("""COMPUTED_VALUE"""),"Київ")</f>
        <v>Київ</v>
      </c>
      <c r="E63" s="16" t="str">
        <f>IFERROR(__xludf.DUMMYFUNCTION("""COMPUTED_VALUE"""),"вул. Гната Хоткевича, 38")</f>
        <v>вул. Гната Хоткевича, 38</v>
      </c>
      <c r="F63" s="17" t="str">
        <f>IFERROR(__xludf.DUMMYFUNCTION("""COMPUTED_VALUE"""),"044-287-84-16      044-287-84-15    044-287-84-14")</f>
        <v>044-287-84-16      044-287-84-15    044-287-84-14</v>
      </c>
      <c r="G63" s="17" t="str">
        <f>IFERROR(__xludf.DUMMYFUNCTION("""COMPUTED_VALUE"""),"Вібрація загальна та локальна,Шум,Ультразвук,Інфразвук,Неіонізуюче випромінювання,Мікроклімат,Освітлення,Атмосферний тиск")</f>
        <v>Вібрація загальна та локальна,Шум,Ультразвук,Інфразвук,Неіонізуюче випромінювання,Мікроклімат,Освітлення,Атмосферний тиск</v>
      </c>
      <c r="H63" s="17" t="str">
        <f>IFERROR(__xludf.DUMMYFUNCTION("""COMPUTED_VALUE"""),"Зола горючих сланцев,Углерода оксид,Известняк,Корунд белый,Кремния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(гранит,"&amp;" шамот, слюда-сирец, углепородная пыль и др.),Кремния карбид (карборунд).,Чугун в смесе с електрокорундом до 20%,Зерновая,Мучная, древесная и др. (с примесью диоксида кремния меньше 2 %),Лубяная, хлопчато-бумажная, хлопковая, льняная, шерстяная, пуховая и"&amp;" др. (с примесью диоксида кремния более 10%),Лубяная, хлопчато-бумажная, хлопковая, льняная, шерстяная, пуховая и др. (с примесью диоксида кремния от 2 до 10 %),Силикатсодержащие пыли, силикаты, алюмосиликаты при содержанииасбеста от 10 до 20%
,Силикатсод"&amp;"ержащие пыли, силикаты, алюмосиликаты асбесты природные (хризолит, актофиллит, эктинолит, тремолит, магнезиарфведсонит) и синтетическиеасбесты, а такжесмешанныеасбестопородныепыли при содержании в них асбестаболее 20%;
,Асбестопородные пыли при содержани"&amp;"и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,Искусственные минеральные волокна силикатные и алюмосиликатные стеклообразной структуры,"&amp;"Цемент, оливин, апатит, форстерит, глина, шамот каолиновый,Антрацит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искусственные,Ал"&amp;"маз металлизированый")</f>
        <v>Зола горючих сланцев,Углерода оксид,Известняк,Корунд белый,Кремния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карбид (карборунд).,Чугун в смесе с електрокорундом до 20%,Зерновая,Мучная,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10 %),Силикатсодержащие пыли, силикаты, алюмосиликаты при содержанииасбеста от 10 до 20%
,Силикатсодержащие пыли, силикаты, алюмосиликаты асбесты природные (хризолит, актофиллит, эктинолит, тремолит, магнезиарфведсонит) и синтетическиеасбесты, а такжесмешанныеасбестопородныепыли при содержании в них асбестаболее 20%;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,Искусственные минеральные волокна силикатные и алюмосиликатные стеклообразной структуры,Цемент, оливин, апатит, форстерит, глина, шамот каолиновый,Антрацит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v>
      </c>
      <c r="I63" s="17" t="str">
        <f>IFERROR(__xludf.DUMMYFUNCTION("""COMPUTED_VALUE"""),"")</f>
        <v/>
      </c>
      <c r="J63" s="17" t="str">
        <f>IFERROR(__xludf.DUMMYFUNCTION("""COMPUTED_VALUE"""),"")</f>
        <v/>
      </c>
      <c r="K63" s="18">
        <f>IFERROR(__xludf.DUMMYFUNCTION("""COMPUTED_VALUE"""),43446.0)</f>
        <v>43446</v>
      </c>
      <c r="L63" s="18" t="str">
        <f>IFERROR(__xludf.DUMMYFUNCTION("""COMPUTED_VALUE"""),"")</f>
        <v/>
      </c>
    </row>
    <row r="64">
      <c r="A64" s="11">
        <f t="shared" si="1"/>
        <v>61</v>
      </c>
      <c r="B64" s="16" t="str">
        <f>IFERROR(__xludf.DUMMYFUNCTION("""COMPUTED_VALUE"""),"ТОВ ""Сан Пром Сервіс Лаб""")</f>
        <v>ТОВ "Сан Пром Сервіс Лаб"</v>
      </c>
      <c r="C64" s="16" t="str">
        <f>IFERROR(__xludf.DUMMYFUNCTION("""COMPUTED_VALUE"""),"Черкаська")</f>
        <v>Черкаська</v>
      </c>
      <c r="D64" s="16" t="str">
        <f>IFERROR(__xludf.DUMMYFUNCTION("""COMPUTED_VALUE"""),"Черкаси")</f>
        <v>Черкаси</v>
      </c>
      <c r="E64" s="16" t="str">
        <f>IFERROR(__xludf.DUMMYFUNCTION("""COMPUTED_VALUE"""),"вул. Дахнівська, 50/8")</f>
        <v>вул. Дахнівська, 50/8</v>
      </c>
      <c r="F64" s="17" t="str">
        <f>IFERROR(__xludf.DUMMYFUNCTION("""COMPUTED_VALUE"""),"097-505-73-40")</f>
        <v>097-505-73-40</v>
      </c>
      <c r="G64" s="17" t="str">
        <f>IFERROR(__xludf.DUMMYFUNCTION("""COMPUTED_VALUE"""),"Вібрація загальна та локальна,Шум,Мікроклімат,Освітлення,Атмосферний тиск")</f>
        <v>Вібрація загальна та локальна,Шум,Мікроклімат,Освітлення,Атмосферний тиск</v>
      </c>
      <c r="H64" s="17" t="str">
        <f>IFERROR(__xludf.DUMMYFUNCTION("""COMPUTED_VALUE"""),"Азота диоксид,Азота оксид (IV) в перерарасчете на (NO2),Аммиак,Ангидрид сернистый,Ангидрид хромовый,Ацетон,Ацетальдегид,Бензин,Бензол,Бутилацетат,Водорода хлорид,Гексан,Дибутилфталат,Дихлорэтан,Этилацетат ,Капролактам ,Кислота азотная,Кислота уксусная,Кис"&amp;"лота серная,Ксилол (мета-,орто-, пара-),Марганца оксиды (в пересчете на MnO2) аэрозоль дезинтеграции,Марганца оксиды (в пересчете на MnO2) аэрозоль конденсации,Масла минеральные нефтяные,Озон,Полиамидные пресс-порошки ПМ-69, ПАИ-1,Сероводород,Сода кальцин"&amp;"ированная,Спирт н-бутиловый, бутиловый вторичный и третичный
,Спирт этиловий,Спирт метиловий,Спирт пропиловый,Спирт изобутиловый,Спирт изопропиловый,Стирол,Толуол,Уайт-спирит (в пересчете на С),Углеводороды алифатические предельные,Углерода оксид,Фенол,Фо"&amp;"рмальдегид,Фенопласты,Хлор,Цинка оксид,Щелочи едкие (растворы в перерасчете на NaOH),Марганець в сварочном аэрозоле: (до 20% и 20-30%),Алюминия оксид в виде аэрозоля дезинтеграции (глинозем, электрокорунд, монокорунд),Корунд белый,Кремния диоксид аморфный"&amp;" в виде аэрозоля конденсации при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аморфный в виде аэрозоля д"&amp;"езинтеграции (диатомит, кварцевое стекло, плавленый кварц, трепел);,Кремния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70 %"&amp;"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др.),Кремния карбид (карборунд).,Поливинилхлорид,Полимеры и сополимеры на основе"&amp;" акриловых и метакриловых мономеров,Полипропилен,Полиэтилен,Стиромаль,Чугун в смесе с електрокорундом до 20%,Зерновая,Мучная, древесная и др. (с примесью диоксида кремния меньше 2 %),Лубяная, хлопчато-бумажная, хлопковая, льняная, шерстяная, пуховая и др."&amp;"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боль"&amp;"ше 10 %,Асбестопородные пыли при содержании в них асбеста до 10 %,Искусственные минеральные волокна силикатные и алюмосиликатные стеклообразной структуры,Цемент, оливин, апатит, форстерит, глина, шамот каолиновый,Стеклопластик на основе полиэфирной смолы
"&amp;",Табак,Коксы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искусственные,Ал"&amp;"маз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f>
        <v>Азота диоксид,Азота оксид (IV) в перерарасчете на (NO2),Аммиак,Ангидрид сернистый,Ангидрид хромовый,Ацетон,Ацетальдегид,Бензин,Бензол,Бутилацетат,Водорода хлорид,Гексан,Дибутилфталат,Дихлорэтан,Этилацетат ,Капролактам ,Кислота азотная,Кислота уксусная,Кислота серная,Ксилол (мета-,орто-, пара-),Марганца оксиды (в пересчете на MnO2) аэрозоль дезинтеграции,Марганца оксиды (в пересчете на MnO2) аэрозоль конденсации,Масла минеральные нефтяные,Озон,Полиамидные пресс-порошки ПМ-69, ПАИ-1,Сероводород,Сода кальцинированная,Спирт н-бутиловый, бутиловый вторичный и третичный
,Спирт этиловий,Спирт метиловий,Спирт пропиловый,Спирт изобутиловый,Спирт изопропиловый,Стирол,Толуол,Уайт-спирит (в пересчете на С),Углеводороды алифатические предельные,Углерода оксид,Фенол,Формальдегид,Фенопласты,Хлор,Цинка оксид,Щелочи едкие (растворы в перерасчете на NaOH),Марганець в сварочном аэрозоле: (до 20% и 20-30%),Алюминия оксид в виде аэрозоля дезинтеграции (глинозем, электрокорунд, монокорунд),Корунд белый,Кремния диоксид аморфный в виде аэрозоля конденсации при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аморфный в виде аэрозоля дезинтеграции (диатомит, кварцевое стекло, плавленый кварц, трепел);,Кремния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др.),Кремния карбид (карборунд).,Поливинилхлорид,Полимеры и сополимеры на основе акриловых и метакриловых мономеров,Полипропилен,Полиэтилен,Стиромаль,Чугун в смесе с електрокорундом до 20%,Зерновая,Мучная,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10 %,Искусственные минеральные волокна силикатные и алюмосиликатные стеклообразной структуры,Цемент, оливин, апатит, форстерит, глина, шамот каолиновый,Стеклопластик на основе полиэфирной смолы
,Табак,Коксы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v>
      </c>
      <c r="I64" s="17" t="str">
        <f>IFERROR(__xludf.DUMMYFUNCTION("""COMPUTED_VALUE"""),"")</f>
        <v/>
      </c>
      <c r="J64" s="17" t="str">
        <f>IFERROR(__xludf.DUMMYFUNCTION("""COMPUTED_VALUE"""),"Важкість праці,Напруженість праці")</f>
        <v>Важкість праці,Напруженість праці</v>
      </c>
      <c r="K64" s="18">
        <f>IFERROR(__xludf.DUMMYFUNCTION("""COMPUTED_VALUE"""),43446.0)</f>
        <v>43446</v>
      </c>
      <c r="L64" s="18" t="str">
        <f>IFERROR(__xludf.DUMMYFUNCTION("""COMPUTED_VALUE"""),"")</f>
        <v/>
      </c>
    </row>
    <row r="65">
      <c r="A65" s="11">
        <f t="shared" si="1"/>
        <v>62</v>
      </c>
      <c r="B65" s="16" t="str">
        <f>IFERROR(__xludf.DUMMYFUNCTION("""COMPUTED_VALUE"""),"Костянтинівське управління по газопостачанню та газифікації ПАТ ""По газопостачанню та газифікації ""Донецькоблгаз""")</f>
        <v>Костянтинівське управління по газопостачанню та газифікації ПАТ "По газопостачанню та газифікації "Донецькоблгаз"</v>
      </c>
      <c r="C65" s="16" t="str">
        <f>IFERROR(__xludf.DUMMYFUNCTION("""COMPUTED_VALUE"""),"Донецька")</f>
        <v>Донецька</v>
      </c>
      <c r="D65" s="16" t="str">
        <f>IFERROR(__xludf.DUMMYFUNCTION("""COMPUTED_VALUE"""),"Костянтинівка")</f>
        <v>Костянтинівка</v>
      </c>
      <c r="E65" s="16" t="str">
        <f>IFERROR(__xludf.DUMMYFUNCTION("""COMPUTED_VALUE"""),"вул. Ємельянова, 76")</f>
        <v>вул. Ємельянова, 76</v>
      </c>
      <c r="F65" s="17" t="str">
        <f>IFERROR(__xludf.DUMMYFUNCTION("""COMPUTED_VALUE"""),"06272-2-45-14")</f>
        <v>06272-2-45-14</v>
      </c>
      <c r="G65" s="17" t="str">
        <f>IFERROR(__xludf.DUMMYFUNCTION("""COMPUTED_VALUE"""),"Вібрація загальна та локальна,Шум,Мікроклімат,Освітлення,Атмосферний тиск")</f>
        <v>Вібрація загальна та локальна,Шум,Мікроклімат,Освітлення,Атмосферний тиск</v>
      </c>
      <c r="H65" s="17" t="str">
        <f>IFERROR(__xludf.DUMMYFUNCTION("""COMPUTED_VALUE"""),"Азота диоксид,Азота оксид (IV) в перерарасчете на (NO2),Ангидрид сернистый,Ангидрид фосфорный,Ацетон,Ацетальдегид,Бензин,Водорода хлорид,Этилмеркаптан,Кислота уксусная,Керосин,Кислота серная,Ксилол (мета-,орто-, пара-),Медь,Озон,Сероводород,Титан и его ди"&amp;"оксид,Толуол,Уайт-спирит (в пересчете на С),Углеводороды алифатические предельные,Углерода оксид,Фенол,Формальдегид,Цинка оксид,Марганець в сварочном аэрозоле: (до 20% и 20-30%),Мучная, древесная и др. (с примесью диоксида кремния меньше 2 %),Цемент, олив"&amp;"ин, апатит, форстерит, глина, шамот каолиновый")</f>
        <v>Азота диоксид,Азота оксид (IV) в перерарасчете на (NO2),Ангидрид сернистый,Ангидрид фосфорный,Ацетон,Ацетальдегид,Бензин,Водорода хлорид,Этилмеркаптан,Кислота уксусная,Керосин,Кислота серная,Ксилол (мета-,орто-, пара-),Медь,Озон,Сероводород,Титан и его диоксид,Толуол,Уайт-спирит (в пересчете на С),Углеводороды алифатические предельные,Углерода оксид,Фенол,Формальдегид,Цинка оксид,Марганець в сварочном аэрозоле: (до 20% и 20-30%),Мучная, древесная и др. (с примесью диоксида кремния меньше 2 %),Цемент, оливин, апатит, форстерит, глина, шамот каолиновый</v>
      </c>
      <c r="I65" s="17" t="str">
        <f>IFERROR(__xludf.DUMMYFUNCTION("""COMPUTED_VALUE"""),"")</f>
        <v/>
      </c>
      <c r="J65" s="17" t="str">
        <f>IFERROR(__xludf.DUMMYFUNCTION("""COMPUTED_VALUE"""),"")</f>
        <v/>
      </c>
      <c r="K65" s="18">
        <f>IFERROR(__xludf.DUMMYFUNCTION("""COMPUTED_VALUE"""),43451.0)</f>
        <v>43451</v>
      </c>
      <c r="L65" s="18" t="str">
        <f>IFERROR(__xludf.DUMMYFUNCTION("""COMPUTED_VALUE"""),"")</f>
        <v/>
      </c>
    </row>
    <row r="66">
      <c r="A66" s="11">
        <f t="shared" si="1"/>
        <v>63</v>
      </c>
      <c r="B66" s="16" t="str">
        <f>IFERROR(__xludf.DUMMYFUNCTION("""COMPUTED_VALUE"""),"ДП ""Миколаївський експертно-технічний центр Держпраці""")</f>
        <v>ДП "Миколаївський експертно-технічний центр Держпраці"</v>
      </c>
      <c r="C66" s="16" t="str">
        <f>IFERROR(__xludf.DUMMYFUNCTION("""COMPUTED_VALUE"""),"Херсонська")</f>
        <v>Херсонська</v>
      </c>
      <c r="D66" s="16" t="str">
        <f>IFERROR(__xludf.DUMMYFUNCTION("""COMPUTED_VALUE"""),"Херсон")</f>
        <v>Херсон</v>
      </c>
      <c r="E66" s="16" t="str">
        <f>IFERROR(__xludf.DUMMYFUNCTION("""COMPUTED_VALUE"""),"вул. Робоча, 82 А")</f>
        <v>вул. Робоча, 82 А</v>
      </c>
      <c r="F66" s="17" t="str">
        <f>IFERROR(__xludf.DUMMYFUNCTION("""COMPUTED_VALUE"""),"0552-38-13-88        0552-38-12-46       050-552-62-60")</f>
        <v>0552-38-13-88        0552-38-12-46       050-552-62-60</v>
      </c>
      <c r="G66" s="17" t="str">
        <f>IFERROR(__xludf.DUMMYFUNCTION("""COMPUTED_VALUE"""),"Вібрація загальна та локальна,Шум,Мікроклімат,Освітлення,Атмосферний тиск")</f>
        <v>Вібрація загальна та локальна,Шум,Мікроклімат,Освітлення,Атмосферний тиск</v>
      </c>
      <c r="H66" s="17" t="str">
        <f>IFERROR(__xludf.DUMMYFUNCTION("""COMPUTED_VALUE"""),"Азота диоксид,Аминопласты (пресс-порошки),Аммиак,Ангидрид сернистый,Ацетальдегид,Водорода хлорид,Водород фосфористый (фосфин),Гексан,Электрокорунд, электрокорунд хромистый,Кислота уксусная,Керамика,Медь,Масла минеральные нефтяные,Натрия хлорид,Никель, ник"&amp;"еля оксиды, сульфиды и смеси соединений никеля (файнштейн, никелевый концентрат и агломерат, оборотная пыль очистных устройств (по Ni)
,Озон,Полиамидные пресс-порошки ПМ-69, ПАИ-1,Сероводород,Свинец и его неорганические соединения (по свинцу),Углерода окс"&amp;"ид,Формальдегид,Фенолформальдегидные смолы формальдегиду,Фенопласты,Хлор,Известняк,Корунд белый,Кремния карбид (карборунд).,Чугун в смесе с електрокорундом до 20%,Шамотнографитовые огнеупоры,Зерновая,Мучная, древесная и др. (с примесью диоксида кремния ме"&amp;"ньше 2 %),Лубяная, хлопчато-бумажная, хлопковая, льняная, шерстяная, пуховая и др. (с примесью диоксида кремния более 10%),Искусственные минеральные волокна силикатные и алюмосиликатные стеклообразной структуры,Цемент, оливин, апатит, форстерит, глина, ша"&amp;"мот каолиновый,Стеклопластик на основе полиэфирной смолы
,Коксы каменноугольный, пековый, нефтяной, сланцевый,Углеродные волокнистые материалы на основе гидрат полиакрилонитрильных волокон")</f>
        <v>Азота диоксид,Аминопласты (пресс-порошки),Аммиак,Ангидрид сернистый,Ацетальдегид,Водорода хлорид,Водород фосфористый (фосфин),Гексан,Электрокорунд, электрокорунд хромистый,Кислота уксусная,Керамика,Медь,Масла минеральные нефтяные,Натрия хлорид,Никель, никеля оксиды, сульфиды и смеси соединений никеля (файнштейн, никелевый концентрат и агломерат, оборотная пыль очистных устройств (по Ni)
,Озон,Полиамидные пресс-порошки ПМ-69, ПАИ-1,Сероводород,Свинец и его неорганические соединения (по свинцу),Углерода оксид,Формальдегид,Фенолформальдегидные смолы формальдегиду,Фенопласты,Хлор,Известняк,Корунд белый,Кремния карбид (карборунд).,Чугун в смесе с електрокорундом до 20%,Шамотнографитовые огнеупоры,Зерновая,Мучная,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10%),Искусственные минеральные волокна силикатные и алюмосиликатные стеклообразной структуры,Цемент, оливин, апатит, форстерит, глина, шамот каолиновый,Стеклопластик на основе полиэфирной смолы
,Коксы каменноугольный, пековый, нефтяной, сланцевый,Углеродные волокнистые материалы на основе гидрат полиакрилонитрильных волокон</v>
      </c>
      <c r="I66" s="17" t="str">
        <f>IFERROR(__xludf.DUMMYFUNCTION("""COMPUTED_VALUE"""),"")</f>
        <v/>
      </c>
      <c r="J66" s="17" t="str">
        <f>IFERROR(__xludf.DUMMYFUNCTION("""COMPUTED_VALUE"""),"Важкість праці,Напруженість праці")</f>
        <v>Важкість праці,Напруженість праці</v>
      </c>
      <c r="K66" s="18">
        <f>IFERROR(__xludf.DUMMYFUNCTION("""COMPUTED_VALUE"""),43451.0)</f>
        <v>43451</v>
      </c>
      <c r="L66" s="18">
        <f>IFERROR(__xludf.DUMMYFUNCTION("""COMPUTED_VALUE"""),43608.0)</f>
        <v>43608</v>
      </c>
    </row>
    <row r="67">
      <c r="A67" s="11">
        <f t="shared" si="1"/>
        <v>64</v>
      </c>
      <c r="B67" s="16" t="str">
        <f>IFERROR(__xludf.DUMMYFUNCTION("""COMPUTED_VALUE"""),"Харківський ВП ДУ ""Лабораторний центр на залізничному транспорті МОЗ України""")</f>
        <v>Харківський ВП ДУ "Лабораторний центр на залізничному транспорті МОЗ України"</v>
      </c>
      <c r="C67" s="16" t="str">
        <f>IFERROR(__xludf.DUMMYFUNCTION("""COMPUTED_VALUE"""),"Харківська")</f>
        <v>Харківська</v>
      </c>
      <c r="D67" s="16" t="str">
        <f>IFERROR(__xludf.DUMMYFUNCTION("""COMPUTED_VALUE"""),"Харків")</f>
        <v>Харків</v>
      </c>
      <c r="E67" s="16" t="str">
        <f>IFERROR(__xludf.DUMMYFUNCTION("""COMPUTED_VALUE"""),"вул. Благовіщенська, 10")</f>
        <v>вул. Благовіщенська, 10</v>
      </c>
      <c r="F67" s="17" t="str">
        <f>IFERROR(__xludf.DUMMYFUNCTION("""COMPUTED_VALUE"""),"057-712-20-56")</f>
        <v>057-712-20-56</v>
      </c>
      <c r="G67" s="17" t="str">
        <f>IFERROR(__xludf.DUMMYFUNCTION("""COMPUTED_VALUE"""),"Вібрація загальна та локальна,Шум,Неіонізуюче випромінювання,Мікроклімат,Освітлення,Атмосферний тиск")</f>
        <v>Вібрація загальна та локальна,Шум,Неіонізуюче випромінювання,Мікроклімат,Освітлення,Атмосферний тиск</v>
      </c>
      <c r="H67" s="17" t="str">
        <f>IFERROR(__xludf.DUMMYFUNCTION("""COMPUTED_VALUE"""),"Азота диоксид,Акролеин,Аммиак,Ангидрид сернистый,Ангидрид фосфорный,Ангидрид хромовый,Водорода хлорид,Водород фтористий (в пересчете на F),Электрокорунд, электрокорунд хромистый,Капролактам ,Кислота уксусная,Кислота серная,Ксилол (мета-,орто-, пара-),Медь"&amp;",Масла минеральные нефтяные,Никеля соли в виде гидроаэрозоля (по Ni),Озон,Сероводород,Свинец и его неорганические соединения (по свинцу),Титан и его диоксид,Тетрахлорэтилен,Трихлорэтилен,Толуол,Углерода оксид,Фенол,Формальдегид,Фтористоводородной кислоты "&amp;"соли (по F):
 фториды натрия, калия, аммония, цинка, олова, серебра, лития и бария, криолит, гидрофторид аммония,Фтористоводородной кислоты соли (по F) фториды алюминия, магния, кальция, стронция, меди, хрома,Хлор,Хрома оксид (по Cr+3),Цинка оксид,Щелочи "&amp;"едкие (растворы в перерасчете на NaOH),Марганець в сварочном аэрозоле: (до 20% и 20-30%),Корунд белый,Кремния диоксид аморфный в виде аэрозоля дезинтеграции (диатомит, кварцевое стекло, плавленый кварц, трепел);,Кремния диоксид кристаллический (кварц, кри"&amp;"стобелит,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от"&amp;" 2 до 10 % (горючие кукерситные сланцы, медно сульфидные руды и др.),Кремния карбид (карборунд).,Зерновая,Мучная, древесная и др. (с примесью диоксида кремния меньше 2 %),Лубяная, хлопчато-бумажная, хлопковая, льняная, шерстяная, пуховая и др. (с примесью"&amp;" диоксида кремния более 10%),Лубяная, хлопчато-бумажная, хлопковая, льняная, шерстяная, пуховая и др. (с примесью диоксида кремния от 2 до 10 %),Слюды, тальк, талькопородные пыли содержащие до 10% свободного диоксида кремния,Искусственные минеральные воло"&amp;"кна силикатные и алюмосиликатные стеклообразной структуры,Цемент, оливин, апатит, форстерит, глина, шамот каолиновый")</f>
        <v>Азота диоксид,Акролеин,Аммиак,Ангидрид сернистый,Ангидрид фосфорный,Ангидрид хромовый,Водорода хлорид,Водород фтористий (в пересчете на F),Электрокорунд, электрокорунд хромистый,Капролактам ,Кислота уксусная,Кислота серная,Ксилол (мета-,орто-, пара-),Медь,Масла минеральные нефтяные,Никеля соли в виде гидроаэрозоля (по Ni),Озон,Сероводород,Свинец и его неорганические соединения (по свинцу),Титан и его диоксид,Тетрахлорэтилен,Трихлорэтилен,Толуол,Углерода оксид,Фенол,Формальдегид,Фтористоводородной кислоты соли (по F):
 фториды натрия, калия, аммония, цинка, олова, серебра, лития и бария, криолит, гидрофторид аммония,Фтористоводородной кислоты соли (по F) фториды алюминия, магния, кальция, стронция, меди, хрома,Хлор,Хрома оксид (по Cr+3),Цинка оксид,Щелочи едкие (растворы в перерасчете на NaOH),Марганець в сварочном аэрозоле: (до 20% и 20-30%),Корунд белый,Кремния диоксид аморфный в виде аэрозоля дезинтеграции (диатомит, кварцевое стекло, плавленый кварц, трепел);,Кремния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др.),Кремния карбид (карборунд).,Зерновая,Мучная,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v>
      </c>
      <c r="I67" s="17" t="str">
        <f>IFERROR(__xludf.DUMMYFUNCTION("""COMPUTED_VALUE"""),"")</f>
        <v/>
      </c>
      <c r="J67" s="17" t="str">
        <f>IFERROR(__xludf.DUMMYFUNCTION("""COMPUTED_VALUE"""),"Важкість праці,Напруженість праці")</f>
        <v>Важкість праці,Напруженість праці</v>
      </c>
      <c r="K67" s="18">
        <f>IFERROR(__xludf.DUMMYFUNCTION("""COMPUTED_VALUE"""),43451.0)</f>
        <v>43451</v>
      </c>
      <c r="L67" s="18" t="str">
        <f>IFERROR(__xludf.DUMMYFUNCTION("""COMPUTED_VALUE"""),"")</f>
        <v/>
      </c>
    </row>
    <row r="68">
      <c r="A68" s="11">
        <f t="shared" si="1"/>
        <v>65</v>
      </c>
      <c r="B68" s="16" t="str">
        <f>IFERROR(__xludf.DUMMYFUNCTION("""COMPUTED_VALUE"""),"ДП ""Житомирський експертно-технічний центр Держпраці""")</f>
        <v>ДП "Житомирський експертно-технічний центр Держпраці"</v>
      </c>
      <c r="C68" s="16" t="str">
        <f>IFERROR(__xludf.DUMMYFUNCTION("""COMPUTED_VALUE"""),"Житомирська")</f>
        <v>Житомирська</v>
      </c>
      <c r="D68" s="16" t="str">
        <f>IFERROR(__xludf.DUMMYFUNCTION("""COMPUTED_VALUE"""),"Житомир")</f>
        <v>Житомир</v>
      </c>
      <c r="E68" s="16" t="str">
        <f>IFERROR(__xludf.DUMMYFUNCTION("""COMPUTED_VALUE"""),"Київське шосе, 131")</f>
        <v>Київське шосе, 131</v>
      </c>
      <c r="F68" s="17" t="str">
        <f>IFERROR(__xludf.DUMMYFUNCTION("""COMPUTED_VALUE"""),"0412-42-96-80")</f>
        <v>0412-42-96-80</v>
      </c>
      <c r="G68" s="17" t="str">
        <f>IFERROR(__xludf.DUMMYFUNCTION("""COMPUTED_VALUE"""),"Вібрація загальна та локальна,Шум,Мікроклімат,Освітлення,Атмосферний тиск")</f>
        <v>Вібрація загальна та локальна,Шум,Мікроклімат,Освітлення,Атмосферний тиск</v>
      </c>
      <c r="H68" s="17" t="str">
        <f>IFERROR(__xludf.DUMMYFUNCTION("""COMPUTED_VALUE"""),"Азота диоксид,Алюминия  оксид в смеси со сплавом никеля до 15% (электрокорунд),Аммиак,Анилин,Ацетон,Ацетальдегид,Бензин,Бензол,1,3-Бутадиен (дивинил),Бутан,Бутилацетат,Винилацетат,Винила хлорид,Водорода хлорид,Вольфрам, вольфрама карбид и силицид,Гексан,Д"&amp;"иметиламин,Диэтиламин,Диэтилбензол,Диэтиловый эфир,Зола горючих сланцев,Изобутилен,Этилен,Этилацетат ,Этилена оксид,Этилмеркаптан,Капрон,Керамика,Керосин,Кислота серная,Лавсан,Ксилол (мета-,орто-, пара-),Марганец,Меди соли (хлорная, хлористая, сернокислая"&amp;") по меди
,Масла минеральные нефтяные,Метилацетат,Метилмеркаптан,Метилциклогексан,Нафталин,Никель,Нитроаммофоска,Нитробензол,Нифелин и нифелиновый сиенит,Нефрас С 150/200 (в пересчете на С),Озон,Пентан,Пропилен,Сера элементарная,Сероводород,Сероуглерод,Со"&amp;"да кальцинированная,Синтетические моющие средства „Лотос”,”Ера”,”Ока” ,Стирол,Титан и его диоксид,Тетрахлорэтилен,Триэтиламин,Триметиламин,Трихлорэтилен,Толуол,Уайт-спирит (в пересчете на С),Углерода оксид,Фенол,Формальдегид,Фенопласты,Феррохром металличе"&amp;"ский (сплав хрома 65% с железом),Фторопласт-4,Хлор,Хлорбензол,Хлортолуол,Хрома оксид (по Cr+3),Циклогексан,Циклогексанон,Щелочи едкие (растворы в перерасчете на NaOH),Алюминий и его сплавы (в перерасчете на алюминий),Алюминия оксид в виде аэрозоля дезинте"&amp;"грации (глинозем, электрокорунд, монокорунд),Алюминия оксид с примесью свободного диоксида кремния до 15% и оксида железа до 10% ( в виде аерозоля конденсации),Метилэтилкетон,Аммофос+ (смесь моно- и диаммоний фосфатов),Барит,Бокситы,Доломит,Дунитоперидоти"&amp;"товые пески,Железный агломерат,Железорудные окатыши,Известняк,Корунд белый,Кремния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аморфный"&amp;" в виде аэрозоля дезинтеграции (диатомит, кварцевое стекло, плавленый кварц, трепел);,Кремния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"&amp;"пыле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др.),Молибдена силицид,Смолодоломит,Спек боксита и нефелина,Сп"&amp;"ек бокситов низкокремнистых,Титана нитрид, силицид,Чугун в смесе с електрокорундом до 20%,Шамотнографитовые огнеупоры,Зерновая,Мучная, древесная и др. (с примесью диоксида кремния меньше 2 %),Лубяная, хлопчато-бумажная, хлопковая, льняная, шерстяная, пухо"&amp;"вая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асб"&amp;"еста больше 10 %,Асбестобакелит,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алюмо"&amp;"силикатные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сланцевый,Антрацит с содержанием свободного диоксида кремния до 5 %,Сажи черные п"&amp;"ромышленные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f>
        <v>Азота диоксид,Алюминия  оксид в смеси со сплавом никеля до 15% (электрокорунд),Аммиак,Анилин,Ацетон,Ацетальдегид,Бензин,Бензол,1,3-Бутадиен (дивинил),Бутан,Бутилацетат,Винилацетат,Винила хлорид,Водорода хлорид,Вольфрам, вольфрама карбид и силицид,Гексан,Диметиламин,Диэтиламин,Диэтилбензол,Диэтиловый эфир,Зола горючих сланцев,Изобутилен,Этилен,Этилацетат ,Этилена оксид,Этилмеркаптан,Капрон,Керамика,Керосин,Кислота серная,Лавсан,Ксилол (мета-,орто-, пара-),Марганец,Меди соли (хлорная, хлористая, сернокислая) по меди
,Масла минеральные нефтяные,Метилацетат,Метилмеркаптан,Метилциклогексан,Нафталин,Никель,Нитроаммофоска,Нитробензол,Нифелин и нифелиновый сиенит,Нефрас С 150/200 (в пересчете на С),Озон,Пентан,Пропилен,Сера элементарная,Сероводород,Сероуглерод,Сода кальцинированная,Синтетические моющие средства „Лотос”,”Ера”,”Ока” ,Стирол,Титан и его диоксид,Тетрахлорэтилен,Триэтиламин,Триметиламин,Трихлорэтилен,Толуол,Уайт-спирит (в пересчете на С),Углерода оксид,Фенол,Формальдегид,Фенопласты,Феррохром металлический (сплав хрома 65% с железом),Фторопласт-4,Хлор,Хлорбензол,Хлортолуол,Хрома оксид (по Cr+3),Циклогексан,Циклогексанон,Щелочи едкие (растворы в перерасчете на NaOH),Алюминий и его сплавы (в перерасчете на алюминий),Алюминия оксид в виде аэрозоля дезинтеграции (глинозем, электрокорунд, монокорунд),Алюминия оксид с примесью свободного диоксида кремния до 15% и оксида железа до 10% ( в виде аерозоля конденсации),Метилэтилкетон,Аммофос+ (смесь моно- и диаммоний фосфатов),Барит,Бокситы,Доломит,Дунитоперидотитовые пески,Железный агломерат,Железорудные окатыши,Известняк,Корунд белый,Кремния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аморфный в виде аэрозоля дезинтеграции (диатомит, кварцевое стекло, плавленый кварц, трепел);,Кремния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др.),Молибдена силицид,Смолодоломит,Спек боксита и нефелина,Спек бокситов низкокремнистых,Титана нитрид, силицид,Чугун в смесе с електрокорундом до 20%,Шамотнографитовые огнеупоры,Зерновая,Мучная,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сланцевый,Антрацит с содержанием свободного диоксида кремния до 5 %,Сажи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v>
      </c>
      <c r="I68" s="17" t="str">
        <f>IFERROR(__xludf.DUMMYFUNCTION("""COMPUTED_VALUE"""),"")</f>
        <v/>
      </c>
      <c r="J68" s="17" t="str">
        <f>IFERROR(__xludf.DUMMYFUNCTION("""COMPUTED_VALUE"""),"Важкість праці,Напруженість праці")</f>
        <v>Важкість праці,Напруженість праці</v>
      </c>
      <c r="K68" s="18">
        <f>IFERROR(__xludf.DUMMYFUNCTION("""COMPUTED_VALUE"""),43451.0)</f>
        <v>43451</v>
      </c>
      <c r="L68" s="18" t="str">
        <f>IFERROR(__xludf.DUMMYFUNCTION("""COMPUTED_VALUE"""),"")</f>
        <v/>
      </c>
    </row>
    <row r="69">
      <c r="A69" s="11">
        <f t="shared" si="1"/>
        <v>66</v>
      </c>
      <c r="B69" s="16" t="str">
        <f>IFERROR(__xludf.DUMMYFUNCTION("""COMPUTED_VALUE"""),"ДУ ""Івано-Франківський обласний лабораторний центр МОЗ України""")</f>
        <v>ДУ "Івано-Франківський обласний лабораторний центр МОЗ України"</v>
      </c>
      <c r="C69" s="16" t="str">
        <f>IFERROR(__xludf.DUMMYFUNCTION("""COMPUTED_VALUE"""),"Івано-Франківська")</f>
        <v>Івано-Франківська</v>
      </c>
      <c r="D69" s="16" t="str">
        <f>IFERROR(__xludf.DUMMYFUNCTION("""COMPUTED_VALUE"""),"Івано-Франківськ")</f>
        <v>Івано-Франківськ</v>
      </c>
      <c r="E69" s="16" t="str">
        <f>IFERROR(__xludf.DUMMYFUNCTION("""COMPUTED_VALUE"""),"вул. Шевченка, 4")</f>
        <v>вул. Шевченка, 4</v>
      </c>
      <c r="F69" s="17" t="str">
        <f>IFERROR(__xludf.DUMMYFUNCTION("""COMPUTED_VALUE"""),"0342-53-42-16    0342-75-28-78")</f>
        <v>0342-53-42-16    0342-75-28-78</v>
      </c>
      <c r="G69" s="17" t="str">
        <f>IFERROR(__xludf.DUMMYFUNCTION("""COMPUTED_VALUE"""),"Вібрація загальна та локальна,Шум,Неіонізуюче випромінювання,Іонізуюче випромінювання,Мікроклімат,Освітлення,Атмосферний тиск")</f>
        <v>Вібрація загальна та локальна,Шум,Неіонізуюче випромінювання,Іонізуюче випромінювання,Мікроклімат,Освітлення,Атмосферний тиск</v>
      </c>
      <c r="H69" s="17" t="str">
        <f>IFERROR(__xludf.DUMMYFUNCTION("""COMPUTED_VALUE"""),"Азота диоксид,Азота оксид (IV) в перерарасчете на (NO2),Акролеин,Аммиак,Ангидрид сернистый,Ангидрид фосфорный,Ангидрид хромовый,Анилин,Ацетон,Ацетальдегид,Бензин,Бензол,Бутилацетат,Водорода хлорид,Гексан,Дибутилфталат,Эпихлоргидрин,Этиленгликоль,Этилацета"&amp;"т ,Этилена оксид,Карбамид (мочевина),Кислота уксусная,Кислота серная,Ксилол (мета-,орто-, пара-),Масла минеральные нефтяные,Метилметакрилат,Озон,Ртуть,Сероводород,Свинец и его неорганические соединения (по свинцу),Спирт н-бутиловый, бутиловый вторичный и "&amp;"третичный
,Спирт этиловий,Спирт метиловий,Спирт пропиловый,Спирт изобутиловый,Спирт изопропиловый,Стирол,Тетраэтилсвинец,Толуол,Толуилендиизоцианат,Уайт-спирит (в пересчете на С),Углеводороды алифатические предельные,Углерода оксид,Фенол,Формальдегид,Хлор"&amp;",Хрома оксид (по Cr+3),Цинка оксид,Щелочи едкие (растворы в перерасчете на NaOH),Марганець в сварочном аэрозоле: (до 20% и 20-30%),Корунд белый,Кремния диоксид аморфный в виде аэрозоля конденсации при содержании: больше 60 %,Кремния диоксид аморфный в вид"&amp;"е аэрозоля конденсации при содержании 60-10 %,Кремния диоксид аморфный в виде аэрозоля конденсации при содержании меньше 10 %,Кремния диоксид кристаллический (кварц, кристобелит, тридимит) при содержании в пыли больше 70% (кварцит, динас и др.);,Кремния д"&amp;"иоксид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др.),Кремния карбид (к"&amp;"арборунд).,Зерновая,Мучная,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шерстяная"&amp;", пуховая и др. (с примесью диоксида кремния от 2 до 10 %),Акарициди,Арилоксифеноксипропіонати,Бензотіадиазони,Інсектоакарициди,Імідазолідіни,Хлорацетаніліди,Хлорорганічні,Фосфонати,Фосфорорганічні,Синтетичні піретроїди,Триазоли,Триазинони,Похідні ацетані"&amp;"лідів,Похідні карбомінової кислоти,Похідні неонікотиноїдів")</f>
        <v>Азота диоксид,Азота оксид (IV) в перерарасчете на (NO2),Акролеин,Аммиак,Ангидрид сернистый,Ангидрид фосфорный,Ангидрид хромовый,Анилин,Ацетон,Ацетальдегид,Бензин,Бензол,Бутилацетат,Водорода хлорид,Гексан,Дибутилфталат,Эпихлоргидрин,Этиленгликоль,Этилацетат ,Этилена оксид,Карбамид (мочевина),Кислота уксусная,Кислота серная,Ксилол (мета-,орто-, пара-),Масла минеральные нефтяные,Метилметакрилат,Озон,Ртуть,Сероводород,Свинец и его неорганические соединения (по свинцу),Спирт н-бутиловый, бутиловый вторичный и третичный
,Спирт этиловий,Спирт метиловий,Спирт пропиловый,Спирт изобутиловый,Спирт изопропиловый,Стирол,Тетраэтилсвинец,Толуол,Толуилендиизоцианат,Уайт-спирит (в пересчете на С),Углеводороды алифатические предельные,Углерода оксид,Фенол,Формальдегид,Хлор,Хрома оксид (по Cr+3),Цинка оксид,Щелочи едкие (растворы в перерасчете на NaOH),Марганець в сварочном аэрозоле: (до 20% и 20-30%),Корунд белый,Кремния диоксид аморфный в виде аэрозоля конденсации при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др.),Кремния карбид (карборунд).,Зерновая,Мучная,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карициди,Арилоксифеноксипропіонати,Бензотіадиазони,Інсектоакарициди,Імідазолідіни,Хлорацетаніліди,Хлорорганічні,Фосфонати,Фосфорорганічні,Синтетичні піретроїди,Триазоли,Триазинони,Похідні ацетанілідів,Похідні карбомінової кислоти,Похідні неонікотиноїдів</v>
      </c>
      <c r="I69" s="17" t="str">
        <f>IFERROR(__xludf.DUMMYFUNCTION("""COMPUTED_VALUE"""),"")</f>
        <v/>
      </c>
      <c r="J69" s="17" t="str">
        <f>IFERROR(__xludf.DUMMYFUNCTION("""COMPUTED_VALUE"""),"Напруженість праці")</f>
        <v>Напруженість праці</v>
      </c>
      <c r="K69" s="18">
        <f>IFERROR(__xludf.DUMMYFUNCTION("""COMPUTED_VALUE"""),43453.0)</f>
        <v>43453</v>
      </c>
      <c r="L69" s="18" t="str">
        <f>IFERROR(__xludf.DUMMYFUNCTION("""COMPUTED_VALUE"""),"")</f>
        <v/>
      </c>
    </row>
    <row r="70">
      <c r="A70" s="11">
        <f t="shared" si="1"/>
        <v>67</v>
      </c>
      <c r="B70" s="16" t="str">
        <f>IFERROR(__xludf.DUMMYFUNCTION("""COMPUTED_VALUE"""),"ПрАТ ""Одеський машинобудівний завод""")</f>
        <v>ПрАТ "Одеський машинобудівний завод"</v>
      </c>
      <c r="C70" s="16" t="str">
        <f>IFERROR(__xludf.DUMMYFUNCTION("""COMPUTED_VALUE"""),"Одеська")</f>
        <v>Одеська</v>
      </c>
      <c r="D70" s="16" t="str">
        <f>IFERROR(__xludf.DUMMYFUNCTION("""COMPUTED_VALUE"""),"Одеса")</f>
        <v>Одеса</v>
      </c>
      <c r="E70" s="16" t="str">
        <f>IFERROR(__xludf.DUMMYFUNCTION("""COMPUTED_VALUE"""),"вул. Чорноморського козацтва, 141")</f>
        <v>вул. Чорноморського козацтва, 141</v>
      </c>
      <c r="F70" s="17" t="str">
        <f>IFERROR(__xludf.DUMMYFUNCTION("""COMPUTED_VALUE"""),"048-740-72-38")</f>
        <v>048-740-72-38</v>
      </c>
      <c r="G70" s="17" t="str">
        <f>IFERROR(__xludf.DUMMYFUNCTION("""COMPUTED_VALUE"""),"Вібрація загальна та локальна,Шум,Неіонізуюче випромінювання,Мікроклімат,Освітлення")</f>
        <v>Вібрація загальна та локальна,Шум,Неіонізуюче випромінювання,Мікроклімат,Освітлення</v>
      </c>
      <c r="H70" s="17" t="str">
        <f>IFERROR(__xludf.DUMMYFUNCTION("""COMPUTED_VALUE"""),"Азота диоксид,Азота оксид (IV) в перерарасчете на (NO2),Аммиак,Ангидрид сернистый,Ацетон,Бензин,Бензол,Винила хлорид,Гексан,Этилен,Кислота уксусная,Кислота серная,Ксилол (мета-,орто-, пара-),Медь,Масла минеральные нефтяные,Сероводород,Свинец и его неорган"&amp;"ические соединения (по свинцу),Спирт этиловий,Стирол,Толуол,Углеводороды алифатические предельные,Углерода оксид,Формальдегид,Хлор,Марганець в сварочном аэрозоле: (до 20% и 20-30%),Кремния диоксид аморфный в виде аэрозоля конденсации при содержании: больш"&amp;"е 60 %,Кремния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аморфный в виде аэрозоля дезинтеграции (диатомит, кварцевое стекло, плавлены"&amp;"й кварц, трепел);,Кремния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"&amp;"др.),Кремния диоксид кристаллический при содержании в пыле от 2 до 10 % (горючие кукерситные сланцы, медно сульфидные руды и др.),Зерновая,Мучная, древесная и др. (с примесью диоксида кремния меньше 2 %),Лубяная, хлопчато-бумажная, хлопковая, льняная, шер"&amp;"стяная,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10 %),Силикатсодержащие пыли, силикаты, алюмосиликаты при содержанииасбеста от 10 д"&amp;"о 20%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до"&amp;"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нефтян"&amp;"ой,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промышленные"&amp;"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f>
        <v>Азота диоксид,Азота оксид (IV) в перерарасчете на (NO2),Аммиак,Ангидрид сернистый,Ацетон,Бензин,Бензол,Винила хлорид,Гексан,Этилен,Кислота уксусная,Кислота серная,Ксилол (мета-,орто-, пара-),Медь,Масла минеральные нефтяные,Сероводород,Свинец и его неорганические соединения (по свинцу),Спирт этиловий,Стирол,Толуол,Углеводороды алифатические предельные,Углерода оксид,Формальдегид,Хлор,Марганець в сварочном аэрозоле: (до 20% и 20-30%),Кремния диоксид аморфный в виде аэрозоля конденсации при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аморфный в виде аэрозоля дезинтеграции (диатомит, кварцевое стекло, плавленый кварц, трепел);,Кремния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10 %),Силикатсодержащие пыли, силикаты, алюмосиликаты при содержанииасбеста от 10 до 20%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v>
      </c>
      <c r="I70" s="17" t="str">
        <f>IFERROR(__xludf.DUMMYFUNCTION("""COMPUTED_VALUE"""),"")</f>
        <v/>
      </c>
      <c r="J70" s="17" t="str">
        <f>IFERROR(__xludf.DUMMYFUNCTION("""COMPUTED_VALUE"""),"Важкість праці,Напруженість праці")</f>
        <v>Важкість праці,Напруженість праці</v>
      </c>
      <c r="K70" s="18">
        <f>IFERROR(__xludf.DUMMYFUNCTION("""COMPUTED_VALUE"""),43453.0)</f>
        <v>43453</v>
      </c>
      <c r="L70" s="18" t="str">
        <f>IFERROR(__xludf.DUMMYFUNCTION("""COMPUTED_VALUE"""),"")</f>
        <v/>
      </c>
    </row>
    <row r="71">
      <c r="A71" s="11">
        <f t="shared" si="1"/>
        <v>68</v>
      </c>
      <c r="B71" s="16" t="str">
        <f>IFERROR(__xludf.DUMMYFUNCTION("""COMPUTED_VALUE"""),"Мале приватне підприємство ""ЕКОС""")</f>
        <v>Мале приватне підприємство "ЕКОС"</v>
      </c>
      <c r="C71" s="16" t="str">
        <f>IFERROR(__xludf.DUMMYFUNCTION("""COMPUTED_VALUE"""),"Одеська")</f>
        <v>Одеська</v>
      </c>
      <c r="D71" s="16" t="str">
        <f>IFERROR(__xludf.DUMMYFUNCTION("""COMPUTED_VALUE"""),"Одеса")</f>
        <v>Одеса</v>
      </c>
      <c r="E71" s="16" t="str">
        <f>IFERROR(__xludf.DUMMYFUNCTION("""COMPUTED_VALUE"""),"вул. Комітетська, 14")</f>
        <v>вул. Комітетська, 14</v>
      </c>
      <c r="F71" s="17" t="str">
        <f>IFERROR(__xludf.DUMMYFUNCTION("""COMPUTED_VALUE"""),"048-750-12-04")</f>
        <v>048-750-12-04</v>
      </c>
      <c r="G71" s="17" t="str">
        <f>IFERROR(__xludf.DUMMYFUNCTION("""COMPUTED_VALUE"""),"Вібрація загальна та локальна,Шум,Іонізуюче випромінювання,Мікроклімат,Освітлення")</f>
        <v>Вібрація загальна та локальна,Шум,Іонізуюче випромінювання,Мікроклімат,Освітлення</v>
      </c>
      <c r="H71" s="17" t="str">
        <f>IFERROR(__xludf.DUMMYFUNCTION("""COMPUTED_VALUE"""),"Азота диоксид,Азота оксид (IV) в перерарасчете на (NO2),Аммиак,Ангидрид сернистый,Ацетон,Бензол,Диэтиловый эфир,Ксилол (мета-,орто-, пара-),Толуол,Углеводороды алифатические предельные,Углерода оксид,Хлор,Кремния диоксид кристаллический (кварц, кристобели"&amp;"т,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др.),Зерновая,Мучная, древесная и др. (с примесью диоксида кремния м"&amp;"еньше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природны"&amp;"й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"&amp;"происхождения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ка"&amp;"олиновый,Цеолиты (природные и искусственные)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"&amp;"10%,Алмазы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п"&amp;"олиакрилонитрильных волокон")</f>
        <v>Азота диоксид,Азота оксид (IV) в перерарасчете на (NO2),Аммиак,Ангидрид сернистый,Ацетон,Бензол,Диэтиловый эфир,Ксилол (мета-,орто-, пара-),Толуол,Углеводороды алифатические предельные,Углерода оксид,Хлор,Кремния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v>
      </c>
      <c r="I71" s="17" t="str">
        <f>IFERROR(__xludf.DUMMYFUNCTION("""COMPUTED_VALUE"""),"")</f>
        <v/>
      </c>
      <c r="J71" s="17" t="str">
        <f>IFERROR(__xludf.DUMMYFUNCTION("""COMPUTED_VALUE"""),"Важкість праці,Напруженість праці")</f>
        <v>Важкість праці,Напруженість праці</v>
      </c>
      <c r="K71" s="18">
        <f>IFERROR(__xludf.DUMMYFUNCTION("""COMPUTED_VALUE"""),43453.0)</f>
        <v>43453</v>
      </c>
      <c r="L71" s="18" t="str">
        <f>IFERROR(__xludf.DUMMYFUNCTION("""COMPUTED_VALUE"""),"")</f>
        <v/>
      </c>
    </row>
    <row r="72">
      <c r="A72" s="11">
        <f t="shared" si="1"/>
        <v>69</v>
      </c>
      <c r="B72" s="16" t="str">
        <f>IFERROR(__xludf.DUMMYFUNCTION("""COMPUTED_VALUE"""),"ДУ ""Запорізький обласний лабораторний центр МОЗ України""")</f>
        <v>ДУ "Запорізький обласний лабораторний центр МОЗ України"</v>
      </c>
      <c r="C72" s="16" t="str">
        <f>IFERROR(__xludf.DUMMYFUNCTION("""COMPUTED_VALUE"""),"Запорізька")</f>
        <v>Запорізька</v>
      </c>
      <c r="D72" s="16" t="str">
        <f>IFERROR(__xludf.DUMMYFUNCTION("""COMPUTED_VALUE"""),"Запоріжжя")</f>
        <v>Запоріжжя</v>
      </c>
      <c r="E72" s="16" t="str">
        <f>IFERROR(__xludf.DUMMYFUNCTION("""COMPUTED_VALUE"""),"Вознесенівський р-н,                      вул. Рекордна, 27")</f>
        <v>Вознесенівський р-н,                      вул. Рекордна, 27</v>
      </c>
      <c r="F72" s="17" t="str">
        <f>IFERROR(__xludf.DUMMYFUNCTION("""COMPUTED_VALUE"""),"061-283-17-12     061-283-17-05     061-283-17-32")</f>
        <v>061-283-17-12     061-283-17-05     061-283-17-32</v>
      </c>
      <c r="G72" s="17" t="str">
        <f>IFERROR(__xludf.DUMMYFUNCTION("""COMPUTED_VALUE"""),"Вібрація загальна та локальна,Шум,Ультразвук,Інфразвук,Неіонізуюче випромінювання,Іонізуюче випромінювання,Мікроклімат,Освітлення,Атмосферний тиск")</f>
        <v>Вібрація загальна та локальна,Шум,Ультразвук,Інфразвук,Неіонізуюче випромінювання,Іонізуюче випромінювання,Мікроклімат,Освітлення,Атмосферний тиск</v>
      </c>
      <c r="H72" s="17" t="str">
        <f>IFERROR(__xludf.DUMMYFUNCTION("""COMPUTED_VALUE"""),"Азота диоксид,Азота оксид (IV) в перерарасчете на (NO2),Акролеин,Алюминий и його сплавы,Аммиак,Аммония хлорид,Ангидрид сернистый,Ангидрид фосфорный,Ангидрид хромовый,Анилин,Ацетон,Ацетальдегид,Бензин,Бензол,Бутилацетат,Ванадий и его соединения,Винилацетат"&amp;",Водорода хлорид,Водород фтористий (в пересчете на F),Гексан,Диалкилфталат,Диметилформамид,Дихлорэтан,Дихлорметан,Зола горючих сланцев,Электрокорунд, электрокорунд хромистый,Эпихлоргидрин,Этилцеллозольв (этиловый эфир этиленгликоля),Этиленгликоль,Этилацет"&amp;"ат ,Кальция хлорид,Кадмий и его неорганические соединения,Капролактам ,Кислота уксусная,Керамика,Кислота серная,Кобальт и его неорганические соединения,Кобальта оксид,Ксилол (мета-,орто-, пара-),Марганец,Медь,Марганца оксиды (в пересчете на MnO2) аэрозоль"&amp;" дезинтеграции,Марганца оксиды (в пересчете на MnO2) аэрозоль конденсации,Масла минеральные нефтяные,Моноэтаноламин,Молибден,Молибдена нерастворимые соединения,Молибдена растворимые соединения в виде аэрозоля конденсации,Мышьяка неорганические соединения "&amp;"(по мышьяку),Натрия хлорид,Никеля соли в виде гидроаэрозоля (по Ni),Никель, никеля оксиды, сульфиды и смеси соединений никеля (файнштейн, никелевый концентрат и агломерат, оборотная пыль очистных устройств (по Ni)
,Озон,Ртуть,Сероводород,Сероуглерод,Свине"&amp;"ц и его неорганические соединения (по свинцу),Сода кальцинированная,Спирт н-бутиловый, бутиловый вторичный и третичный
,Спирт этиловий,Спирт метиловий,Спирт пропиловый,Спирт изобутиловый,Спирт изопропиловый,Стирол,Титан и его диоксид,Толуол,Углеводороды а"&amp;"лифатические предельные,Углерода оксид,Углерод четыреххлористый,Фенол,Формальдегид,Фенопласты,Феррохром металлический (сплав хрома 65% с железом),Фтористоводородной кислоты соли (по F):
 фториды натрия, калия, аммония, цинка, олова, серебра, лития и бария"&amp;", криолит, гидрофторид аммония,Фтористоводородной кислоты соли (по F) фториды алюминия, магния, кальция, стронция, меди, хрома,Хлор,Хлора диоксид,Хроматы, бихроматы,Хрома оксид (по Cr+3),Цинка оксид,Щелочи едкие (растворы в перерасчете на NaOH),Алюминия о"&amp;"ксид в виде аэрозоля дезинтеграции (глинозем, электрокорунд, монокорунд),Алюминия оксид с примесью диоксида кремния ( в виде аерозоля конденсации),Бокситы,Бора карбид,Бора нитрид кубический и гексагональный,Доломит,Железный агломерат,Железорудные окатыши,"&amp;"Известняк,Корунд белый,Кремния диоксид аморфный в виде аэрозоля конденсации при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меньше "&amp;"10 %,Кремния диоксид аморфный в виде аэрозоля дезинтеграции (диатомит, кварцевое стекло, плавленый кварц, трепел);,Кремния диоксид кристаллический (кварц, кристобелит, тридимит) при содержании в пыли больше 70% (кварцит, динас и др.);,Кремния диоксид крис"&amp;"таллический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др.),Кремния карбид (карборунд).,"&amp;"Пыль доменного шлака,Магнезит,Смолодоломит,Спек бокситов низкокремнистых,Чугун в смесе с електрокорундом до 20%,Шамотнографитовые огнеупоры,Зерновая,Мучная, древесная и др. (с примесью диоксида кремния меньше 2 %),Лубяная, хлопчато-бумажная, хлопковая, ль"&amp;"няная,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пр"&amp;"и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т"&amp;"алькопородные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"&amp;"каменноугольный,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металлизи"&amp;"рованый,Сажи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волокон,Мідьвмісні пестициди,Фос"&amp;"форорганічні,Фторорганічні,Синтетичні піретроїди,Сим-триазини,Похідні бензойної кислоти,Похідні карбомінової кислоти,Похідні неонікотиноїдів")</f>
        <v>Азота диоксид,Азота оксид (IV) в перерарасчете на (NO2),Акролеин,Алюминий и його сплавы,Аммиак,Аммония хлорид,Ангидрид сернистый,Ангидрид фосфорный,Ангидрид хромовый,Анилин,Ацетон,Ацетальдегид,Бензин,Бензол,Бутилацетат,Ванадий и его соединения,Винилацетат,Водорода хлорид,Водород фтористий (в пересчете на F),Гексан,Диалкилфталат,Диметилформамид,Дихлорэтан,Дихлорметан,Зола горючих сланцев,Электрокорунд, электрокорунд хромистый,Эпихлоргидрин,Этилцеллозольв (этиловый эфир этиленгликоля),Этиленгликоль,Этилацетат ,Кальция хлорид,Кадмий и его неорганические соединения,Капролактам ,Кислота уксусная,Керамика,Кислота серная,Кобальт и его неорганические соединения,Кобальта оксид,Ксилол (мета-,орто-, пара-),Марганец,Медь,Марганца оксиды (в пересчете на MnO2) аэрозоль дезинтеграции,Марганца оксиды (в пересчете на MnO2) аэрозоль конденсации,Масла минеральные нефтяные,Моноэтаноламин,Молибден,Молибдена нерастворимые соединения,Молибдена растворимые соединения в виде аэрозоля конденсации,Мышьяка неорганические соединения (по мышьяку),Натрия хлорид,Никеля соли в виде гидроаэрозоля (по Ni),Никель, никеля оксиды, сульфиды и смеси соединений никеля (файнштейн, никелевый концентрат и агломерат, оборотная пыль очистных устройств (по Ni)
,Озон,Ртуть,Сероводород,Сероуглерод,Свинец и его неорганические соединения (по свинцу),Сода кальцинированная,Спирт н-бутиловый, бутиловый вторичный и третичный
,Спирт этиловий,Спирт метиловий,Спирт пропиловый,Спирт изобутиловый,Спирт изопропиловый,Стирол,Титан и его диоксид,Толуол,Углеводороды алифатические предельные,Углерода оксид,Углерод четыреххлористый,Фенол,Формальдегид,Фенопласты,Феррохром металлический (сплав хрома 65% с железом),Фтористоводородной кислоты соли (по F):
 фториды натрия, калия, аммония, цинка, олова, серебра, лития и бария, криолит, гидрофторид аммония,Фтористоводородной кислоты соли (по F) фториды алюминия, магния, кальция, стронция, меди, хрома,Хлор,Хлора диоксид,Хроматы, бихроматы,Хрома оксид (по Cr+3),Цинка оксид,Щелочи едкие (растворы в перерасчете на NaOH),Алюминия оксид в виде аэрозоля дезинтеграции (глинозем, электрокорунд, монокорунд),Алюминия оксид с примесью диоксида кремния ( в виде аерозоля конденсации),Бокситы,Бора карбид,Бора нитрид кубический и гексагональный,Доломит,Железный агломерат,Железорудные окатыши,Известняк,Корунд белый,Кремния диоксид аморфный в виде аэрозоля конденсации при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аморфный в виде аэрозоля дезинтеграции (диатомит, кварцевое стекло, плавленый кварц, трепел);,Кремния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др.),Кремния карбид (карборунд).,Пыль доменного шлака,Магнезит,Смолодоломит,Спек бокситов низкокремнистых,Чугун в смесе с електрокорундом до 20%,Шамотнографитовые огнеупоры,Зерновая,Мучная,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волокон,Мідьвмісні пестициди,Фосфорорганічні,Фторорганічні,Синтетичні піретроїди,Сим-триазини,Похідні бензойної кислоти,Похідні карбомінової кислоти,Похідні неонікотиноїдів</v>
      </c>
      <c r="I72" s="17" t="str">
        <f>IFERROR(__xludf.DUMMYFUNCTION("""COMPUTED_VALUE"""),"")</f>
        <v/>
      </c>
      <c r="J72" s="17" t="str">
        <f>IFERROR(__xludf.DUMMYFUNCTION("""COMPUTED_VALUE"""),"Важкість праці,Напруженість праці")</f>
        <v>Важкість праці,Напруженість праці</v>
      </c>
      <c r="K72" s="18">
        <f>IFERROR(__xludf.DUMMYFUNCTION("""COMPUTED_VALUE"""),43455.0)</f>
        <v>43455</v>
      </c>
      <c r="L72" s="18" t="str">
        <f>IFERROR(__xludf.DUMMYFUNCTION("""COMPUTED_VALUE"""),"")</f>
        <v/>
      </c>
    </row>
    <row r="73">
      <c r="A73" s="11">
        <f t="shared" si="1"/>
        <v>70</v>
      </c>
      <c r="B73" s="16" t="str">
        <f>IFERROR(__xludf.DUMMYFUNCTION("""COMPUTED_VALUE"""),"Лисичанська міськрайонна філія ДУ ""Луганський обласний лабораторний центр МОЗ України""")</f>
        <v>Лисичанська міськрайонна філія ДУ "Луганський обласний лабораторний центр МОЗ України"</v>
      </c>
      <c r="C73" s="16" t="str">
        <f>IFERROR(__xludf.DUMMYFUNCTION("""COMPUTED_VALUE"""),"Луганська")</f>
        <v>Луганська</v>
      </c>
      <c r="D73" s="16" t="str">
        <f>IFERROR(__xludf.DUMMYFUNCTION("""COMPUTED_VALUE"""),"Лисичанськ")</f>
        <v>Лисичанськ</v>
      </c>
      <c r="E73" s="16" t="str">
        <f>IFERROR(__xludf.DUMMYFUNCTION("""COMPUTED_VALUE"""),"просп. Перемоги, 157")</f>
        <v>просп. Перемоги, 157</v>
      </c>
      <c r="F73" s="17" t="str">
        <f>IFERROR(__xludf.DUMMYFUNCTION("""COMPUTED_VALUE"""),"06451-7-21-12")</f>
        <v>06451-7-21-12</v>
      </c>
      <c r="G73" s="17" t="str">
        <f>IFERROR(__xludf.DUMMYFUNCTION("""COMPUTED_VALUE"""),"Вібрація загальна та локальна,Шум,Неіонізуюче випромінювання,Мікроклімат,Освітлення,Атмосферний тиск")</f>
        <v>Вібрація загальна та локальна,Шум,Неіонізуюче випромінювання,Мікроклімат,Освітлення,Атмосферний тиск</v>
      </c>
      <c r="H73" s="17" t="str">
        <f>IFERROR(__xludf.DUMMYFUNCTION("""COMPUTED_VALUE"""),"Азота диоксид,Аммиак,Ангидрид сернистый,Бензин,Водорода хлорид,Гексан,Электрокорунд, электрокорунд хромистый,Капрон,Кислота серная,Лавсан,Масла минеральные нефтяные,Нитрон,Ртуть,Сероводород,Сероводород в смеси с углеводородами С1-С5,Сода кальцинированная,"&amp;"Спирт метиловий,Титан и его диоксид,Углеводороды алифатические предельные,Углерода оксид,Фенол,Формальдегид,Щелочи едкие (растворы в перерасчете на NaOH),Марганець в сварочном аэрозоле: (до 20% и 20-30%),Алюминия оксид в виде аэрозоля дезинтеграции (глино"&amp;"зем, электрокорунд, монокорунд),Вискоза-77,Доломит,Железный агломерат,Известняк,Кремния диоксид аморфный в виде аэрозоля конденсации при содержании: больше 60 %,Кремния диоксид аморфный в виде аэрозоля конденсации при содержании 60-10 %,Кремния диоксид ам"&amp;"орфный в виде аэрозоля дезинтеграции (диатомит, кварцевое стекло, плавленый кварц, трепел);,Кремния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содержа"&amp;"нии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др.),Кремния карбид (карборунд).,Поливинилхлорид,Полипро"&amp;"пилен,Полиэтилен,Магнезит,Чугун в смесе с електрокорундом до 20%,Шамотнографитовые огнеупоры,Зерновая,Мучная, древесная и др. (с примесью диоксида кремния меньше 2 %),Лубяная, хлопчато-бумажная, хлопковая, льняная, шерстяная, пуховая и др. (с примесью дио"&amp;"ксида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10 %,Асбестоп"&amp;"ородные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свободного"&amp;"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каолиновый,Коксы каменноугольный, пековый, нефтяной, сланцевый,Антрацит с содержанием свободного диок"&amp;"сида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кг,Уг"&amp;"леродные волокнистые материалы на основе гидрат целлюлозных волокон,Углеродные волокнистые материалы на основе гидрат полиакрилонитрильных волокон")</f>
        <v>Азота диоксид,Аммиак,Ангидрид сернистый,Бензин,Водорода хлорид,Гексан,Электрокорунд, электрокорунд хромистый,Капрон,Кислота серная,Лавсан,Масла минеральные нефтяные,Нитрон,Ртуть,Сероводород,Сероводород в смеси с углеводородами С1-С5,Сода кальцинированная,Спирт метиловий,Титан и его диоксид,Углеводороды алифатические предельные,Углерода оксид,Фенол,Формальдегид,Щелочи едкие (растворы в перерасчете на NaOH),Марганець в сварочном аэрозоле: (до 20% и 20-30%),Алюминия оксид в виде аэрозоля дезинтеграции (глинозем, электрокорунд, монокорунд),Вискоза-77,Доломит,Железный агломерат,Известняк,Кремния диоксид аморфный в виде аэрозоля конденсации при содержании: больше 60 %,Кремния диоксид аморфный в виде аэрозоля конденсации при содержании 60-10 %,Кремния диоксид аморфный в виде аэрозоля дезинтеграции (диатомит, кварцевое стекло, плавленый кварц, трепел);,Кремния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др.),Кремния карбид (карборунд).,Поливинилхлорид,Полипропилен,Полиэтилен,Магнезит,Чугун в смесе с електрокорундом до 20%,Шамотнографитовые огнеупоры,Зерновая,Мучная,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v>
      </c>
      <c r="I73" s="17" t="str">
        <f>IFERROR(__xludf.DUMMYFUNCTION("""COMPUTED_VALUE"""),"")</f>
        <v/>
      </c>
      <c r="J73" s="17" t="str">
        <f>IFERROR(__xludf.DUMMYFUNCTION("""COMPUTED_VALUE"""),"Важкість праці,Напруженість праці")</f>
        <v>Важкість праці,Напруженість праці</v>
      </c>
      <c r="K73" s="18">
        <f>IFERROR(__xludf.DUMMYFUNCTION("""COMPUTED_VALUE"""),43454.0)</f>
        <v>43454</v>
      </c>
      <c r="L73" s="18" t="str">
        <f>IFERROR(__xludf.DUMMYFUNCTION("""COMPUTED_VALUE"""),"")</f>
        <v/>
      </c>
    </row>
    <row r="74">
      <c r="A74" s="11">
        <f t="shared" si="1"/>
        <v>71</v>
      </c>
      <c r="B74" s="16" t="str">
        <f>IFERROR(__xludf.DUMMYFUNCTION("""COMPUTED_VALUE"""),"Науково-дослідний інститут гігієни праці та професійних захворювань Харківського національного медичного університету")</f>
        <v>Науково-дослідний інститут гігієни праці та професійних захворювань Харківського національного медичного університету</v>
      </c>
      <c r="C74" s="16" t="str">
        <f>IFERROR(__xludf.DUMMYFUNCTION("""COMPUTED_VALUE"""),"Харківська")</f>
        <v>Харківська</v>
      </c>
      <c r="D74" s="16" t="str">
        <f>IFERROR(__xludf.DUMMYFUNCTION("""COMPUTED_VALUE"""),"Харків")</f>
        <v>Харків</v>
      </c>
      <c r="E74" s="16" t="str">
        <f>IFERROR(__xludf.DUMMYFUNCTION("""COMPUTED_VALUE"""),"вул. Трінклера, 6")</f>
        <v>вул. Трінклера, 6</v>
      </c>
      <c r="F74" s="17" t="str">
        <f>IFERROR(__xludf.DUMMYFUNCTION("""COMPUTED_VALUE"""),"057-705-07-61       057-705-15-63")</f>
        <v>057-705-07-61       057-705-15-63</v>
      </c>
      <c r="G74" s="17" t="str">
        <f>IFERROR(__xludf.DUMMYFUNCTION("""COMPUTED_VALUE"""),"Вібрація загальна та локальна,Шум,Ультразвук,Інфразвук,Неіонізуюче випромінювання,Мікроклімат,Освітлення")</f>
        <v>Вібрація загальна та локальна,Шум,Ультразвук,Інфразвук,Неіонізуюче випромінювання,Мікроклімат,Освітлення</v>
      </c>
      <c r="H74" s="17" t="str">
        <f>IFERROR(__xludf.DUMMYFUNCTION("""COMPUTED_VALUE"""),"Аммиак,Анилин,Ацетон,Ацетальдегид,Бензин,Бензол,Бутан,Бутилацетат,Винила хлорид,Водорода хлорид,Гексан,Диэтиламин,Диэтиловый эфир,Изобутилен,Этилен,Этилбензол,Этилацетат ,Этилмеркаптан,Керосин,Ксилол (мета-,орто-, пара-),Метилацетат,Метилмеркаптан,Метилци"&amp;"клогексан,Нафталин,Нитробензол,Нефрас С 150/200 (в пересчете на С),Пентан,Пропилен,Сероводород,Сероуглерод,Стирол,Тетрахлорэтилен,Триэтиламин,Триметиламин,Трихлорэтилен,Толуол,Уайт-спирит (в пересчете на С),Углеводороды алифатические предельные,Фенол,Хлор"&amp;"бензол,Хлортолуол,Циклогексан,Циклогексанон,Метилэтилкетон,Известняк,Корунд белый,Кремния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к"&amp;"ристаллический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кристаллически"&amp;"й при содержании в пыле от 2 до 10 % (горючие кукерситные сланцы, медно сульфидные руды и др.),Крохмал,Полимеры и сополимеры на основе акриловых и метакриловых мономеров,Полиэтилен,Чугун в смесе с електрокорундом до 20%,Шамотнографитовые огнеупоры,Зернова"&amp;"я,Мучная,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(с"&amp;"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10 %,Асбестобакелит, асбесторезина,Силикаты стеклообраз"&amp;"ные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форстер"&amp;"ит, глина, шамот каолиновый,Табак,Коксы каменноугольный, пековый, нефтяной, сланцевый,Антрацит с содержанием свободного диоксида кремния до 5 %,Алмаз металлизированый,Сажи черные промышленные с содержанием бензапирена не более 35 мг на 1 кг")</f>
        <v>Аммиак,Анилин,Ацетон,Ацетальдегид,Бензин,Бензол,Бутан,Бутилацетат,Винила хлорид,Водорода хлорид,Гексан,Диэтиламин,Диэтиловый эфир,Изобутилен,Этилен,Этилбензол,Этилацетат ,Этилмеркаптан,Керосин,Ксилол (мета-,орто-, пара-),Метилацетат,Метилмеркаптан,Метилциклогексан,Нафталин,Нитробензол,Нефрас С 150/200 (в пересчете на С),Пентан,Пропилен,Сероводород,Сероуглерод,Стирол,Тетрахлорэтилен,Триэтиламин,Триметиламин,Трихлорэтилен,Толуол,Уайт-спирит (в пересчете на С),Углеводороды алифатические предельные,Фенол,Хлорбензол,Хлортолуол,Циклогексан,Циклогексанон,Метилэтилкетон,Известняк,Корунд белый,Кремния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др.),Крохмал,Полимеры и сополимеры на основе акриловых и метакриловых мономеров,Полиэтилен,Чугун в смесе с електрокорундом до 20%,Шамотнографитовые огнеупоры,Зерновая,Мучная,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каолиновый,Табак,Коксы каменноугольный, пековый, нефтяной, сланцевый,Антрацит с содержанием свободного диоксида кремния до 5 %,Алмаз металлизированый,Сажи черные промышленные с содержанием бензапирена не более 35 мг на 1 кг</v>
      </c>
      <c r="I74" s="17" t="str">
        <f>IFERROR(__xludf.DUMMYFUNCTION("""COMPUTED_VALUE"""),"")</f>
        <v/>
      </c>
      <c r="J74" s="17" t="str">
        <f>IFERROR(__xludf.DUMMYFUNCTION("""COMPUTED_VALUE"""),"Важкість праці,Напруженість праці")</f>
        <v>Важкість праці,Напруженість праці</v>
      </c>
      <c r="K74" s="18">
        <f>IFERROR(__xludf.DUMMYFUNCTION("""COMPUTED_VALUE"""),43460.0)</f>
        <v>43460</v>
      </c>
      <c r="L74" s="18" t="str">
        <f>IFERROR(__xludf.DUMMYFUNCTION("""COMPUTED_VALUE"""),"")</f>
        <v/>
      </c>
    </row>
    <row r="75">
      <c r="A75" s="11">
        <f t="shared" si="1"/>
        <v>72</v>
      </c>
      <c r="B75" s="16" t="str">
        <f>IFERROR(__xludf.DUMMYFUNCTION("""COMPUTED_VALUE"""),"ДУ ""Луганський обласний лабораторний центр МОЗ України""")</f>
        <v>ДУ "Луганський обласний лабораторний центр МОЗ України"</v>
      </c>
      <c r="C75" s="16" t="str">
        <f>IFERROR(__xludf.DUMMYFUNCTION("""COMPUTED_VALUE"""),"Луганська")</f>
        <v>Луганська</v>
      </c>
      <c r="D75" s="16" t="str">
        <f>IFERROR(__xludf.DUMMYFUNCTION("""COMPUTED_VALUE"""),"Сєвєродонецьк")</f>
        <v>Сєвєродонецьк</v>
      </c>
      <c r="E75" s="16" t="str">
        <f>IFERROR(__xludf.DUMMYFUNCTION("""COMPUTED_VALUE"""),"вул. Юності. 2 А")</f>
        <v>вул. Юності. 2 А</v>
      </c>
      <c r="F75" s="17" t="str">
        <f>IFERROR(__xludf.DUMMYFUNCTION("""COMPUTED_VALUE"""),"06452-4-10-86")</f>
        <v>06452-4-10-86</v>
      </c>
      <c r="G75" s="17" t="str">
        <f>IFERROR(__xludf.DUMMYFUNCTION("""COMPUTED_VALUE"""),"Вібрація загальна та локальна,Шум,Інфразвук,Неіонізуюче випромінювання,Іонізуюче випромінювання,Мікроклімат,Освітлення,Атмосферний тиск")</f>
        <v>Вібрація загальна та локальна,Шум,Інфразвук,Неіонізуюче випромінювання,Іонізуюче випромінювання,Мікроклімат,Освітлення,Атмосферний тиск</v>
      </c>
      <c r="H75" s="17" t="str">
        <f>IFERROR(__xludf.DUMMYFUNCTION("""COMPUTED_VALUE"""),"Азота диоксид,Азота оксид (IV) в перерарасчете на (NO2),Акролеин,Акриламид,Аминопласты (пресс-порошки),Аммиак,Аммония хлорид,Ангидрид малеиновый,Ангидрид масляный,Ангидрид сернистый,Ангидрид хромовый,Анилин,Ацетон,Ацетальдегид,Бензин,Бензол,Бутилацетат,Ви"&amp;"нилацетат,Водорода хлорид,Водород фтористий (в пересчете на F),Гидразин и его производные,Гидроперекись изопропилбензола,Диметиланилин,Дифенилол-пропан,Дихлорэтан,Диэтиленгликоль,Диэтиловый эфир,Дитолилметан,Электрокорунд, электрокорунд хромистый,Эпихлорг"&amp;"идрин,Эпоксидные смолы (по эпихлоргидрину),Этилацетат ,Карбамид (мочевина),Кислота уксусная,Керамика,Кислота серная,Кислота себациновая,Лавсан,Ксилол (мета-,орто-, пара-),Медь,Марганца оксиды (в пересчете на MnO2) аэрозоль конденсации,Масла минеральные не"&amp;"фтяные,Моноэтаноламин,Натрия гидрокарбонат,Натрия хлорид,Нитрон,Никеля соли в виде гидроаэрозоля (по Ni),Никель, никеля оксиды, сульфиды и смеси соединений никеля (файнштейн, никелевый концентрат и агломерат, оборотная пыль очистных устройств (по Ni)
,Озо"&amp;"н,Ртуть,Сера элементарная,Сероводород,Свинец и его неорганические соединения (по свинцу),Сода кальцинированная,Сольвент-нафта,Синтетические моющие средства „Лотос”,”Ера”,”Ока” ,Спирт н-бутиловый, бутиловый вторичный и третичный
,Спирт этиловий,Спирт метил"&amp;"овий,Стирол,Стеклоэмаль (по свинцу),Стеклокристаллический цемент (по свинцу),Титан и его диоксид,Тетрахлорэтилен,Толуол,Уайт-спирит (в пересчете на С),Углеводороды алифатические предельные,Углерода оксид,Фенол,Формальдегид,Фенолформальдегидные смолы по фе"&amp;"нолу,Фенолформальдегидные смолы формальдегиду,Фенопласты,Феррохром металлический (сплав хрома 65% с железом),Фтористоводородной кислоты соли (по F):
 фториды натрия, калия, аммония, цинка, олова, серебра, лития и бария, криолит, гидрофторид аммония,Хлор,Х"&amp;"роматы, бихроматы,Циклогексан,Циклогексанон,Цинка оксид,Щелочи едкие (растворы в перерасчете на NaOH),Алюминия оксид в виде аэрозоля дезинтеграции (глинозем, электрокорунд, монокорунд),Марганець в сварочном аэрозоле: (до 20% и 20-30%),Аммофос+ (смесь моно"&amp;"- и диаммоний фосфатов),Вискоза-77,Доломит,Железный агломерат,Железорудные окатыши,Известняк,Корунд белый,Калия карбонат,Калия нитрат,Калия сульфат,Калия хлорид,Кремния диоксид аморфный в виде аэрозоля конденсации при содержании: больше 60 %,Кремния диокс"&amp;"ид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аморфный в виде аэрозоля дезинтеграции (диатомит, кварцевое стекло, плавленый кварц, трепел);,Кр"&amp;"емния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диоксид"&amp;" кристаллический при содержании в пыле от 2 до 10 % (горючие кукерситные сланцы, медно сульфидные руды и др.),Кремния карбид (карборунд).,Поливинилхлорид,Полимеры и сополимеры на основе акриловых и метакриловых мономеров,Полипропилен,Поликарбонат,Полиэтил"&amp;"ен,Полиформальдегид,Магнезит,Чугун в смесе с електрокорундом до 20%,Шамотнографитовые огнеупоры,Зерновая,Мучная, древесная и др. (с примесью диоксида кремния меньше 2 %),Лубяная, хлопчато-бумажная, хлопковая, льняная, шерстяная, пуховая и др. (с примесью "&amp;"диоксида кремния более 10%),Лубяная, хлопчато-бумажная, хлопковая, льняная, шерстяная, пуховая и др. (с примесью диоксида кремния от 2 до 10 %),Силикаты стеклообразные вулканического происхождения (туфы, пемза, перлит) ,Слюды, тальк, талькопородные пыли с"&amp;"одержащие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,Стеклопластик на основе по"&amp;"лиэфирной смолы
,Суперфосфат,Коксы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природ"&amp;"ные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полиакрилонитрильн"&amp;"ых волокон")</f>
        <v>Азота диоксид,Азота оксид (IV) в перерарасчете на (NO2),Акролеин,Акриламид,Аминопласты (пресс-порошки),Аммиак,Аммония хлорид,Ангидрид малеиновый,Ангидрид масляный,Ангидрид сернистый,Ангидрид хромовый,Анилин,Ацетон,Ацетальдегид,Бензин,Бензол,Бутилацетат,Винилацетат,Водорода хлорид,Водород фтористий (в пересчете на F),Гидразин и его производные,Гидроперекись изопропилбензола,Диметиланилин,Дифенилол-пропан,Дихлорэтан,Диэтиленгликоль,Диэтиловый эфир,Дитолилметан,Электрокорунд, электрокорунд хромистый,Эпихлоргидрин,Эпоксидные смолы (по эпихлоргидрину),Этилацетат ,Карбамид (мочевина),Кислота уксусная,Керамика,Кислота серная,Кислота себациновая,Лавсан,Ксилол (мета-,орто-, пара-),Медь,Марганца оксиды (в пересчете на MnO2) аэрозоль конденсации,Масла минеральные нефтяные,Моноэтаноламин,Натрия гидрокарбонат,Натрия хлорид,Нитрон,Никеля соли в виде гидроаэрозоля (по Ni),Никель, никеля оксиды, сульфиды и смеси соединений никеля (файнштейн, никелевый концентрат и агломерат, оборотная пыль очистных устройств (по Ni)
,Озон,Ртуть,Сера элементарная,Сероводород,Свинец и его неорганические соединения (по свинцу),Сода кальцинированная,Сольвент-нафта,Синтетические моющие средства „Лотос”,”Ера”,”Ока” ,Спирт н-бутиловый, бутиловый вторичный и третичный
,Спирт этиловий,Спирт метиловий,Стирол,Стеклоэмаль (по свинцу),Стеклокристаллический цемент (по свинцу),Титан и его диоксид,Тетрахлорэтилен,Толуол,Уайт-спирит (в пересчете на С),Углеводороды алифатические предельные,Углерода оксид,Фенол,Формальдегид,Фенолформальдегидные смолы по фенолу,Фенолформальдегидные смолы формальдегиду,Фенопласты,Феррохром металлический (сплав хрома 65% с железом),Фтористоводородной кислоты соли (по F):
 фториды натрия, калия, аммония, цинка, олова, серебра, лития и бария, криолит, гидрофторид аммония,Хлор,Хроматы, бихроматы,Циклогексан,Циклогексанон,Цинка оксид,Щелочи едкие (растворы в перерасчете на NaOH),Алюминия оксид в виде аэрозоля дезинтеграции (глинозем, электрокорунд, монокорунд),Марганець в сварочном аэрозоле: (до 20% и 20-30%),Аммофос+ (смесь моно- и диаммоний фосфатов),Вискоза-77,Доломит,Железный агломерат,Железорудные окатыши,Известняк,Корунд белый,Калия карбонат,Калия нитрат,Калия сульфат,Калия хлорид,Кремния диоксид аморфный в виде аэрозоля конденсации при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аморфный в виде аэрозоля дезинтеграции (диатомит, кварцевое стекло, плавленый кварц, трепел);,Кремния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др.),Кремния карбид (карборунд).,Поливинилхлорид,Полимеры и сополимеры на основе акриловых и метакриловых мономеров,Полипропилен,Поликарбонат,Полиэтилен,Полиформальдегид,Магнезит,Чугун в смесе с електрокорундом до 20%,Шамотнографитовые огнеупоры,Зерновая,Мучная,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,Стеклопластик на основе полиэфирной смолы
,Суперфосфат,Коксы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v>
      </c>
      <c r="I75" s="17" t="str">
        <f>IFERROR(__xludf.DUMMYFUNCTION("""COMPUTED_VALUE"""),"")</f>
        <v/>
      </c>
      <c r="J75" s="17" t="str">
        <f>IFERROR(__xludf.DUMMYFUNCTION("""COMPUTED_VALUE"""),"Важкість праці,Напруженість праці")</f>
        <v>Важкість праці,Напруженість праці</v>
      </c>
      <c r="K75" s="18">
        <f>IFERROR(__xludf.DUMMYFUNCTION("""COMPUTED_VALUE"""),43460.0)</f>
        <v>43460</v>
      </c>
      <c r="L75" s="18" t="str">
        <f>IFERROR(__xludf.DUMMYFUNCTION("""COMPUTED_VALUE"""),"")</f>
        <v/>
      </c>
    </row>
    <row r="76">
      <c r="A76" s="11">
        <f t="shared" si="1"/>
        <v>73</v>
      </c>
      <c r="B76" s="16" t="str">
        <f>IFERROR(__xludf.DUMMYFUNCTION("""COMPUTED_VALUE"""),"КП ""Запорізький обласний центр охорони праці""")</f>
        <v>КП "Запорізький обласний центр охорони праці"</v>
      </c>
      <c r="C76" s="16" t="str">
        <f>IFERROR(__xludf.DUMMYFUNCTION("""COMPUTED_VALUE"""),"Запорізька")</f>
        <v>Запорізька</v>
      </c>
      <c r="D76" s="16" t="str">
        <f>IFERROR(__xludf.DUMMYFUNCTION("""COMPUTED_VALUE"""),"Запоріжжя")</f>
        <v>Запоріжжя</v>
      </c>
      <c r="E76" s="16" t="str">
        <f>IFERROR(__xludf.DUMMYFUNCTION("""COMPUTED_VALUE"""),"вул. Українська, 50")</f>
        <v>вул. Українська, 50</v>
      </c>
      <c r="F76" s="17" t="str">
        <f>IFERROR(__xludf.DUMMYFUNCTION("""COMPUTED_VALUE"""),"061-262-32-82     098-476-39-83")</f>
        <v>061-262-32-82     098-476-39-83</v>
      </c>
      <c r="G76" s="17" t="str">
        <f>IFERROR(__xludf.DUMMYFUNCTION("""COMPUTED_VALUE"""),"Вібрація загальна та локальна,Шум,Мікроклімат,Освітлення")</f>
        <v>Вібрація загальна та локальна,Шум,Мікроклімат,Освітлення</v>
      </c>
      <c r="H76" s="17" t="str">
        <f>IFERROR(__xludf.DUMMYFUNCTION("""COMPUTED_VALUE"""),"Азота диоксид,Акролеин,Алюминий и його сплавы,Аммиак,Ангидрид сернистый,Ангидрид хромовый,Водорода хлорид,Водород фосфористый (фосфин),Водород фтористий (в пересчете на F),Зола горючих сланцев,Электрокорунд, электрокорунд хромистый,Эпихлоргидрин,Кислота у"&amp;"ксусная,Керамика,Кислота серная,Медь,Марганца оксиды (в пересчете на MnO2) аэрозоль дезинтеграции,Масла минеральные нефтяные,Моноэтаноламин,Натрия хлорид,Никель,Никеля соли в виде гидроаэрозоля (по Ni),Никель, никеля оксиды, сульфиды и смеси соединений ни"&amp;"келя (файнштейн, никелевый концентрат и агломерат, оборотная пыль очистных устройств (по Ni)
,Озон,Сероводород,Свинец и его неорганические соединения (по свинцу),Сода кальцинированная,Титан и его диоксид,Углерода оксид,Фенол,Формальдегид,Фенопласты,Фторис"&amp;"товодородной кислоты соли (по F):
 фториды натрия, калия, аммония, цинка, олова, серебра, лития и бария, криолит, гидрофторид аммония,Фтористоводородной кислоты соли (по F) фториды алюминия, магния, кальция, стронция, меди, хрома,Хлор,Хроматы, бихроматы,Х"&amp;"рома оксид (по Cr+3),Цинка оксид,Щелочи едкие (растворы в перерасчете на NaOH),Марганець в сварочном аэрозоле: (до 20% и 20-30%),Бокситы,Железный агломерат,Железорудные окатыши,Известняк,Корунд белый,Кремния диоксид аморфный в виде аэрозоля конденсации пр"&amp;"и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аморфный в виде аэрозоля дезинтеграции (диатомит, кварцев"&amp;"ое стекло, плавленый кварц, трепел);,Кремния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у"&amp;"глепородная пыль и др.),Кремния диоксид кристаллический при содержании в пыле от 2 до 10 % (горючие кукерситные сланцы, медно сульфидные руды и др.),Кремния карбид (карборунд).,Пыль доменного шлака,Магнезит,Смолодоломит,Спек бокситов низкокремнистых,Чугун"&amp;" в смесе с електрокорундом до 20%,Шамотнографитовые огнеупоры,Зерновая,Мучная,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10%),Лубяна"&amp;"я,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н"&amp;"их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кремния,Искусственные"&amp;"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сланцевый,Антрацит с содержанием свободног"&amp;"о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1"&amp;"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f>
        <v>Азота диоксид,Акролеин,Алюминий и його сплавы,Аммиак,Ангидрид сернистый,Ангидрид хромовый,Водорода хлорид,Водород фосфористый (фосфин),Водород фтористий (в пересчете на F),Зола горючих сланцев,Электрокорунд, электрокорунд хромистый,Эпихлоргидрин,Кислота уксусная,Керамика,Кислота серная,Медь,Марганца оксиды (в пересчете на MnO2) аэрозоль дезинтеграции,Масла минеральные нефтяные,Моноэтаноламин,Натрия хлорид,Никель,Никеля соли в виде гидроаэрозоля (по Ni),Никель, никеля оксиды, сульфиды и смеси соединений никеля (файнштейн, никелевый концентрат и агломерат, оборотная пыль очистных устройств (по Ni)
,Озон,Сероводород,Свинец и его неорганические соединения (по свинцу),Сода кальцинированная,Титан и его диоксид,Углерода оксид,Фенол,Формальдегид,Фенопласты,Фтористоводородной кислоты соли (по F):
 фториды натрия, калия, аммония, цинка, олова, серебра, лития и бария, криолит, гидрофторид аммония,Фтористоводородной кислоты соли (по F) фториды алюминия, магния, кальция, стронция, меди, хрома,Хлор,Хроматы, бихроматы,Хрома оксид (по Cr+3),Цинка оксид,Щелочи едкие (растворы в перерасчете на NaOH),Марганець в сварочном аэрозоле: (до 20% и 20-30%),Бокситы,Железный агломерат,Железорудные окатыши,Известняк,Корунд белый,Кремния диоксид аморфный в виде аэрозоля конденсации при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аморфный в виде аэрозоля дезинтеграции (диатомит, кварцевое стекло, плавленый кварц, трепел);,Кремния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др.),Кремния карбид (карборунд).,Пыль доменного шлака,Магнезит,Смолодоломит,Спек бокситов низкокремнистых,Чугун в смесе с електрокорундом до 20%,Шамотнографитовые огнеупоры,Зерновая,Мучная,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v>
      </c>
      <c r="I76" s="17" t="str">
        <f>IFERROR(__xludf.DUMMYFUNCTION("""COMPUTED_VALUE"""),"")</f>
        <v/>
      </c>
      <c r="J76" s="17" t="str">
        <f>IFERROR(__xludf.DUMMYFUNCTION("""COMPUTED_VALUE"""),"Важкість праці,Напруженість праці")</f>
        <v>Важкість праці,Напруженість праці</v>
      </c>
      <c r="K76" s="18">
        <f>IFERROR(__xludf.DUMMYFUNCTION("""COMPUTED_VALUE"""),43454.0)</f>
        <v>43454</v>
      </c>
      <c r="L76" s="18" t="str">
        <f>IFERROR(__xludf.DUMMYFUNCTION("""COMPUTED_VALUE"""),"")</f>
        <v/>
      </c>
    </row>
    <row r="77">
      <c r="A77" s="11">
        <f t="shared" si="1"/>
        <v>74</v>
      </c>
      <c r="B77" s="16" t="str">
        <f>IFERROR(__xludf.DUMMYFUNCTION("""COMPUTED_VALUE"""),"ВП ""Запорізький міський відділ ДУ ""Запорізький обласний лабораторний центр МОЗ України""")</f>
        <v>ВП "Запорізький міський відділ ДУ "Запорізький обласний лабораторний центр МОЗ України"</v>
      </c>
      <c r="C77" s="16" t="str">
        <f>IFERROR(__xludf.DUMMYFUNCTION("""COMPUTED_VALUE"""),"Запорізька")</f>
        <v>Запорізька</v>
      </c>
      <c r="D77" s="16" t="str">
        <f>IFERROR(__xludf.DUMMYFUNCTION("""COMPUTED_VALUE"""),"Запоріжжя")</f>
        <v>Запоріжжя</v>
      </c>
      <c r="E77" s="16" t="str">
        <f>IFERROR(__xludf.DUMMYFUNCTION("""COMPUTED_VALUE"""),"Вознесенівський р-н,                     вул. Рекордна/Миру 25/1 Б")</f>
        <v>Вознесенівський р-н,                     вул. Рекордна/Миру 25/1 Б</v>
      </c>
      <c r="F77" s="17" t="str">
        <f>IFERROR(__xludf.DUMMYFUNCTION("""COMPUTED_VALUE"""),"061-233-31-45")</f>
        <v>061-233-31-45</v>
      </c>
      <c r="G77" s="17" t="str">
        <f>IFERROR(__xludf.DUMMYFUNCTION("""COMPUTED_VALUE"""),"Вібрація загальна та локальна,Шум,Інфразвук,Неіонізуюче випромінювання,Мікроклімат,Освітлення,Атмосферний тиск")</f>
        <v>Вібрація загальна та локальна,Шум,Інфразвук,Неіонізуюче випромінювання,Мікроклімат,Освітлення,Атмосферний тиск</v>
      </c>
      <c r="H77" s="17" t="str">
        <f>IFERROR(__xludf.DUMMYFUNCTION("""COMPUTED_VALUE"""),"Азота диоксид,Азота оксид (IV) в перерарасчете на (NO2),Алюминий и його сплавы,Аммиак,Ангидрид сернистый,Ангидрид хромовый,Ацетон,Ацетальдегид,Бензол,Бутилацетат,Водорода хлорид,Водород фтористий (в пересчете на F),Дихлорэтан,Электрокорунд, электрокорунд "&amp;"хромистый,Эпихлоргидрин,Этилбензол,Этилацетат ,Кислота уксусная,Кислота серная,Ксилол (мета-,орто-, пара-),Медь,Марганца оксиды (в пересчете на MnO2) аэрозоль дезинтеграции,Марганца оксиды (в пересчете на MnO2) аэрозоль конденсации,Масла минеральные нефтя"&amp;"ные,Молибдена растворимые соединения в виде аэрозоля конденсации,Мышьяка неорганические соединения (по мышьяку),Никель, никеля оксиды, сульфиды и смеси соединений никеля (файнштейн, никелевый концентрат и агломерат, оборотная пыль очистных устройств (по N"&amp;"i)
,Озон,Сероводород,Свинец и его неорганические соединения (по свинцу),Спирт н-бутиловый, бутиловый вторичный и третичный
,Спирт этиловий,Спирт метиловий,Спирт пропиловый,Спирт изобутиловый,Спирт изопропиловый,Стирол,Титан и его диоксид,Толуол,Углерода о"&amp;"ксид,Фенол,Формальдегид,Хлор,Хроматы, бихроматы,Хрома оксид (по Cr+3),Цинка оксид,Цинка сульфид,Щелочи едкие (растворы в перерасчете на NaOH),Марганець в сварочном аэрозоле: (до 20% и 20-30%),Кремния диоксид аморфный в виде аэрозоля конденсации при содерж"&amp;"ании 60-10 %,Кремния диоксид аморфный в виде аэрозоля конденсации при содержании меньше 10 %,Кремния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содерж"&amp;"ании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др.),Кремния карбид (карборунд).,Магнезит,Зерновая,Мучн"&amp;"ая,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приме"&amp;"сью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10 %,Слюды, тальк, талькопородные пыли содержащие до 10% своб"&amp;"одного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каолиновый,Коксы каменноугольный, пековый, нефтяной, сланцевый,Антрацит с содержанием свободног"&amp;"о диоксида кремния до 5 %,Другие ископаемые угли и углеродные пыли с содержанием свободного диоксида кремния до 5%, от 5% до 10%,Алмаз металлизированый,Сажи черные промышленные с содержанием бензапирена не более 35 мг на 1 кг,Углеродные волокнистые матери"&amp;"алы на основе гидрат целлюлозных волокон,Углеродные волокнистые материалы на основе гидрат полиакрилонитрильных волокон")</f>
        <v>Азота диоксид,Азота оксид (IV) в перерарасчете на (NO2),Алюминий и його сплавы,Аммиак,Ангидрид сернистый,Ангидрид хромовый,Ацетон,Ацетальдегид,Бензол,Бутилацетат,Водорода хлорид,Водород фтористий (в пересчете на F),Дихлорэтан,Электрокорунд, электрокорунд хромистый,Эпихлоргидрин,Этилбензол,Этилацетат ,Кислота уксусная,Кислота серная,Ксилол (мета-,орто-, пара-),Медь,Марганца оксиды (в пересчете на MnO2) аэрозоль дезинтеграции,Марганца оксиды (в пересчете на MnO2) аэрозоль конденсации,Масла минеральные нефтяные,Молибдена растворимые соединения в виде аэрозоля конденсации,Мышьяка неорганические соединения (по мышьяку),Никель, никеля оксиды, сульфиды и смеси соединений никеля (файнштейн, никелевый концентрат и агломерат, оборотная пыль очистных устройств (по Ni)
,Озон,Сероводород,Свинец и его неорганические соединения (по свинцу),Спирт н-бутиловый, бутиловый вторичный и третичный
,Спирт этиловий,Спирт метиловий,Спирт пропиловый,Спирт изобутиловый,Спирт изопропиловый,Стирол,Титан и его диоксид,Толуол,Углерода оксид,Фенол,Формальдегид,Хлор,Хроматы, бихроматы,Хрома оксид (по Cr+3),Цинка оксид,Цинка сульфид,Щелочи едкие (растворы в перерасчете на NaOH),Марганець в сварочном аэрозоле: (до 20% и 20-30%),Кремния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др.),Кремния карбид (карборунд).,Магнезит,Зерновая,Мучная,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v>
      </c>
      <c r="I77" s="17" t="str">
        <f>IFERROR(__xludf.DUMMYFUNCTION("""COMPUTED_VALUE"""),"")</f>
        <v/>
      </c>
      <c r="J77" s="17" t="str">
        <f>IFERROR(__xludf.DUMMYFUNCTION("""COMPUTED_VALUE"""),"")</f>
        <v/>
      </c>
      <c r="K77" s="18">
        <f>IFERROR(__xludf.DUMMYFUNCTION("""COMPUTED_VALUE"""),43460.0)</f>
        <v>43460</v>
      </c>
      <c r="L77" s="18" t="str">
        <f>IFERROR(__xludf.DUMMYFUNCTION("""COMPUTED_VALUE"""),"")</f>
        <v/>
      </c>
    </row>
    <row r="78">
      <c r="A78" s="11">
        <f t="shared" si="1"/>
        <v>75</v>
      </c>
      <c r="B78" s="16" t="str">
        <f>IFERROR(__xludf.DUMMYFUNCTION("""COMPUTED_VALUE"""),"ДП ""Чернігівський експертно-технічний центр Держпраці""")</f>
        <v>ДП "Чернігівський експертно-технічний центр Держпраці"</v>
      </c>
      <c r="C78" s="16" t="str">
        <f>IFERROR(__xludf.DUMMYFUNCTION("""COMPUTED_VALUE"""),"Чернігівська")</f>
        <v>Чернігівська</v>
      </c>
      <c r="D78" s="16" t="str">
        <f>IFERROR(__xludf.DUMMYFUNCTION("""COMPUTED_VALUE"""),"Чернігів")</f>
        <v>Чернігів</v>
      </c>
      <c r="E78" s="16" t="str">
        <f>IFERROR(__xludf.DUMMYFUNCTION("""COMPUTED_VALUE"""),"вул. Красносільського, 89")</f>
        <v>вул. Красносільського, 89</v>
      </c>
      <c r="F78" s="17" t="str">
        <f>IFERROR(__xludf.DUMMYFUNCTION("""COMPUTED_VALUE"""),"0462-617-889")</f>
        <v>0462-617-889</v>
      </c>
      <c r="G78" s="17" t="str">
        <f>IFERROR(__xludf.DUMMYFUNCTION("""COMPUTED_VALUE"""),"Вібрація загальна та локальна, Шум, Мікроклімат, Освітлення")</f>
        <v>Вібрація загальна та локальна, Шум, Мікроклімат, Освітлення</v>
      </c>
      <c r="H78" s="17" t="str">
        <f>IFERROR(__xludf.DUMMYFUNCTION("""COMPUTED_VALUE"""),"Азота диоксид, Амилацетат, Аммиак, Ангидрид сернистый, Ангидрид фосфорный, Ангидрид хромовый, Ацетон, Ацетальдегид, Бензин, Бензол, Бутилацетат, Бутилметакрилат, Винилацетат, Винила хлорид, Водорода хлорид, Водород фтористий (в пересчете на F), Изобутилен"&amp;", Этилен, Этилбензол, Этилацетат (дополнение 3), Этилена оксид, Кислота уксусная, Кислота серная, Ксилол (мета-,орто-, пара-), Метила бромид, Медь, Масла минеральные нефтяные, Метилметакрилат, Метилтретично-бутиловый эфир, Натрия нитрит, Озон, Пропилена о"&amp;"ксид, Пропилацетат, Сероводород, Свинец и его неорганические соединения (по свинцу), Сода кальцинированная, Спирт этиловий, Спирт метиловий, Стирол, Толуол, Углерода оксид, Фенол, Формальдегид, Хлор, Хлорбензол, Циклогексан, Щелочи едкие (растворы в перер"&amp;"асчете на NaOH), Железа оксид (дополнение 7), Марганець в сварочном аэрозоле: (до 20% и 20-30%), Метилэтилкетон, Цинк и цинка оксид, Кремния карбид (карборунд). Зерновая, Мучная, древесная и др. (с примесью диоксида кремния меньше 2 %), Лубяная, хлопчато-"&amp;"бумажная, хлопковая, льняная, шерстяная, пуховая и др. (с примесью диоксида кремния более 10%), Силикатсодержащие пыли, силикаты, алюмосиликаты при содержании асбеста менее 10%; асбестоцемент, Силикатсодержащие пыли, силикаты, алюмосиликаты при содержании"&amp;"асбеста от 10 до 20%, Силикатсодержащие пыли, силикаты, алюмосиликаты асбесты природные (хризолит, актофиллит, эктинолит, тремолит, магнезиарфведсонит) и синтетическиеасбесты, а такжесмешанныеасбестопородныепыли при содержании в них асбестаболее 20%; Асбе"&amp;"стоцемент неокрашенный и цветной, Асбестобакелит, асбесторезина, Силикаты стеклообразные вулканического происхождения (туфы, пемза, перлит), Слюды, тальк, талькопородные пыли содержащие до 10% свободного диоксида кремния, Искусственные минеральные волокна"&amp;" силикатные и алюмосиликатные стеклообразной структуры, Цемент, оливин, апатит, форстерит, глина, шамот каолиновый, Цеолиты (природные и искусственные), Коксы каменноугольный, пековый, нефтяной, сланцевый, Сажи черные промышленные с содержанием бензапирен"&amp;"а не более 35 мг на 1 кг")</f>
        <v>Азота диоксид, Амилацетат, Аммиак, Ангидрид сернистый, Ангидрид фосфорный, Ангидрид хромовый, Ацетон, Ацетальдегид, Бензин, Бензол, Бутилацетат, Бутилметакрилат, Винилацетат, Винила хлорид, Водорода хлорид, Водород фтористий (в пересчете на F), Изобутилен, Этилен, Этилбензол, Этилацетат (дополнение 3), Этилена оксид, Кислота уксусная, Кислота серная, Ксилол (мета-,орто-, пара-), Метила бромид, Медь, Масла минеральные нефтяные, Метилметакрилат, Метилтретично-бутиловый эфир, Натрия нитрит, Озон, Пропилена оксид, Пропилацетат, Сероводород, Свинец и его неорганические соединения (по свинцу), Сода кальцинированная, Спирт этиловий, Спирт метиловий, Стирол, Толуол, Углерода оксид, Фенол, Формальдегид, Хлор, Хлорбензол, Циклогексан, Щелочи едкие (растворы в перерасчете на NaOH), Железа оксид (дополнение 7), Марганець в сварочном аэрозоле: (до 20% и 20-30%), Метилэтилкетон, Цинк и цинка оксид, Кремния карбид (карборунд). Зерновая, Мучная, древесная и др. (с примесью диоксида кремния меньше 2 %), Лубяная, хлопчато-бумажная, хлопковая, льняная, шерстяная, пуховая и др. (с примесью диоксида кремния более 10%), Силикатсодержащие пыли, силикаты, алюмосиликаты при содержании асбеста менее 10%; асбестоцемент, Силикатсодержащие пыли, силикаты, алюмосиликаты при содержанииасбеста от 10 до 20%, Силикатсодержащие пыли, силикаты, алюмосиликаты асбесты природные (хризолит, актофиллит, эктинолит, тремолит, магнезиарфведсонит) и синтетическиеасбесты, а такжесмешанныеасбестопородныепыли при содержании в них асбестаболее 20%; Асбестоцемент неокрашенный и цветной, Асбестобакелит, асбесторезина, Силикаты стеклообразные вулканического происхождения (туфы, пемза, перлит), Слюды, тальк, талькопородные пыли содержащие до 10% свободного диоксида кремния, Искусственные минеральные волокна силикатные и алюмосиликатные стеклообразной структуры, Цемент, оливин, апатит, форстерит, глина, шамот каолиновый, Цеолиты (природные и искусственные), Коксы каменноугольный, пековый, нефтяной, сланцевый, Сажи черные промышленные с содержанием бензапирена не более 35 мг на 1 кг</v>
      </c>
      <c r="I78" s="17" t="str">
        <f>IFERROR(__xludf.DUMMYFUNCTION("""COMPUTED_VALUE"""),"")</f>
        <v/>
      </c>
      <c r="J78" s="17" t="str">
        <f>IFERROR(__xludf.DUMMYFUNCTION("""COMPUTED_VALUE"""),"Важкість праці,Напруженість праці")</f>
        <v>Важкість праці,Напруженість праці</v>
      </c>
      <c r="K78" s="18">
        <f>IFERROR(__xludf.DUMMYFUNCTION("""COMPUTED_VALUE"""),43461.0)</f>
        <v>43461</v>
      </c>
      <c r="L78" s="18" t="str">
        <f>IFERROR(__xludf.DUMMYFUNCTION("""COMPUTED_VALUE"""),"")</f>
        <v/>
      </c>
    </row>
    <row r="79">
      <c r="A79" s="11">
        <f t="shared" si="1"/>
        <v>76</v>
      </c>
      <c r="B79" s="16" t="str">
        <f>IFERROR(__xludf.DUMMYFUNCTION("""COMPUTED_VALUE"""),"ДУ ""Тернопільський обласний лабораторний центр МОЗ України""")</f>
        <v>ДУ "Тернопільський обласний лабораторний центр МОЗ України"</v>
      </c>
      <c r="C79" s="16" t="str">
        <f>IFERROR(__xludf.DUMMYFUNCTION("""COMPUTED_VALUE"""),"Тернопільська")</f>
        <v>Тернопільська</v>
      </c>
      <c r="D79" s="16" t="str">
        <f>IFERROR(__xludf.DUMMYFUNCTION("""COMPUTED_VALUE"""),"Тернопіль")</f>
        <v>Тернопіль</v>
      </c>
      <c r="E79" s="16" t="str">
        <f>IFERROR(__xludf.DUMMYFUNCTION("""COMPUTED_VALUE"""),"вул. Федьковича, 13")</f>
        <v>вул. Федьковича, 13</v>
      </c>
      <c r="F79" s="17" t="str">
        <f>IFERROR(__xludf.DUMMYFUNCTION("""COMPUTED_VALUE"""),"0352-521-425")</f>
        <v>0352-521-425</v>
      </c>
      <c r="G79" s="17" t="str">
        <f>IFERROR(__xludf.DUMMYFUNCTION("""COMPUTED_VALUE"""),"Вібрація загальна та локальна,Шум,Інфразвук,Неіонізуюче випромінювання,Іонізуюче випромінювання,Мікроклімат,Освітлення,Атмосферний тиск")</f>
        <v>Вібрація загальна та локальна,Шум,Інфразвук,Неіонізуюче випромінювання,Іонізуюче випромінювання,Мікроклімат,Освітлення,Атмосферний тиск</v>
      </c>
      <c r="H79" s="17" t="str">
        <f>IFERROR(__xludf.DUMMYFUNCTION("""COMPUTED_VALUE"""),"Азота оксид (IV) в перерарасчете на (NO2),Акрилонитрил,Акролеин,Аммиак,Ангидрид масляный,Ангидрид сернистый,Ангидрид хромовый,Ацетон,Ацетальдегид,Бензин,Бензол,Бутилацетат,Винила хлорид,Водорода хлорид,Дибутилфталат,Диэтилфталат,Этилацетат ,Кислота уксусн"&amp;"ая,Кислота серная,Ксилол (мета-,орто-, пара-),Марганца оксиды (в пересчете на MnO2) аэрозоль дезинтеграции,Марганца оксиды (в пересчете на MnO2) аэрозоль конденсации,Натрия гидрокарбонат,Озон,Сероводород,Свинец и его неорганические соединения (по свинцу),"&amp;"Сольвент-нафта,Синтетические моющие средства „Лотос”,”Ера”,”Ока” ,Спирт н-бутиловый, бутиловый вторичный и третичный
,Спирт этиловий,Спирт метиловий,Спирт пропиловый,Спирт изобутиловый,Спирт изопропиловый,Стирол,Трихлорэтилен,Толуол,Уайт-спирит (в пересче"&amp;"те на С),Углеводороды алифатические предельные,Углерода оксид,Фенол,Формальдегид,Хлор,Щелочи едкие (растворы в перерасчете на NaOH),Марганець в сварочном аэрозоле: (до 20% и 20-30%),Хрома оксид,Зерновая,Мучная, древесная и др. (с примесью диоксида кремния"&amp;"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f>
        <v>Азота оксид (IV) в перерарасчете на (NO2),Акрилонитрил,Акролеин,Аммиак,Ангидрид масляный,Ангидрид сернистый,Ангидрид хромовый,Ацетон,Ацетальдегид,Бензин,Бензол,Бутилацетат,Винила хлорид,Водорода хлорид,Дибутилфталат,Диэтилфталат,Этилацетат ,Кислота уксусная,Кислота серная,Ксилол (мета-,орто-, пара-),Марганца оксиды (в пересчете на MnO2) аэрозоль дезинтеграции,Марганца оксиды (в пересчете на MnO2) аэрозоль конденсации,Натрия гидрокарбонат,Озон,Сероводород,Свинец и его неорганические соединения (по свинцу),Сольвент-нафта,Синтетические моющие средства „Лотос”,”Ера”,”Ока” ,Спирт н-бутиловый, бутиловый вторичный и третичный
,Спирт этиловий,Спирт метиловий,Спирт пропиловый,Спирт изобутиловый,Спирт изопропиловый,Стирол,Трихлорэтилен,Толуол,Уайт-спирит (в пересчете на С),Углеводороды алифатические предельные,Углерода оксид,Фенол,Формальдегид,Хлор,Щелочи едкие (растворы в перерасчете на NaOH),Марганець в сварочном аэрозоле: (до 20% и 20-30%),Хрома оксид,Зерновая,Мучная,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v>
      </c>
      <c r="I79" s="17" t="str">
        <f>IFERROR(__xludf.DUMMYFUNCTION("""COMPUTED_VALUE"""),"")</f>
        <v/>
      </c>
      <c r="J79" s="17" t="str">
        <f>IFERROR(__xludf.DUMMYFUNCTION("""COMPUTED_VALUE"""),"Важкість праці,Напруженість праці")</f>
        <v>Важкість праці,Напруженість праці</v>
      </c>
      <c r="K79" s="18">
        <f>IFERROR(__xludf.DUMMYFUNCTION("""COMPUTED_VALUE"""),43461.0)</f>
        <v>43461</v>
      </c>
      <c r="L79" s="18" t="str">
        <f>IFERROR(__xludf.DUMMYFUNCTION("""COMPUTED_VALUE"""),"")</f>
        <v/>
      </c>
    </row>
    <row r="80">
      <c r="A80" s="11">
        <f t="shared" si="1"/>
        <v>77</v>
      </c>
      <c r="B80" s="16" t="str">
        <f>IFERROR(__xludf.DUMMYFUNCTION("""COMPUTED_VALUE"""),"Публічне акціонерне товариство ""Стома"" санітарно-промислова лабораторія ЦЗЛ")</f>
        <v>Публічне акціонерне товариство "Стома" санітарно-промислова лабораторія ЦЗЛ</v>
      </c>
      <c r="C80" s="16" t="str">
        <f>IFERROR(__xludf.DUMMYFUNCTION("""COMPUTED_VALUE"""),"Харківська")</f>
        <v>Харківська</v>
      </c>
      <c r="D80" s="16" t="str">
        <f>IFERROR(__xludf.DUMMYFUNCTION("""COMPUTED_VALUE"""),"Харків")</f>
        <v>Харків</v>
      </c>
      <c r="E80" s="16" t="str">
        <f>IFERROR(__xludf.DUMMYFUNCTION("""COMPUTED_VALUE"""),"вул. Ньютона, 3")</f>
        <v>вул. Ньютона, 3</v>
      </c>
      <c r="F80" s="17" t="str">
        <f>IFERROR(__xludf.DUMMYFUNCTION("""COMPUTED_VALUE"""),"057-766-28-12")</f>
        <v>057-766-28-12</v>
      </c>
      <c r="G80" s="17" t="str">
        <f>IFERROR(__xludf.DUMMYFUNCTION("""COMPUTED_VALUE"""),"Шум,Мікроклімат,Освітлення,Атмосферний тиск")</f>
        <v>Шум,Мікроклімат,Освітлення,Атмосферний тиск</v>
      </c>
      <c r="H80" s="17" t="str">
        <f>IFERROR(__xludf.DUMMYFUNCTION("""COMPUTED_VALUE"""),"Азота диоксид,Аммиак,Ангидрид сернистый,Ангидрид хромовый,Ацетон,Бутилметакрилат,Водорода хлорид,Диметиланилин,Этиленгликоль,Этилацетат ,Этилена оксид,Камфора,Кислота уксусная,Кислота серная,Левомицетин,Медь,Масла минеральные нефтяные,Метилметакрилат,Нике"&amp;"ля соли в виде гидроаэрозоля (по Ni),Озон,Стирол,Углерода оксид,Фенол,Цинка оксид,Щелочи едкие (растворы в перерасчете на NaOH),Марганець в сварочном аэрозоле: (до 20% и 20-30%),Кремния диоксид аморфный в виде аэрозоля дезинтеграции (диатомит, кварцевое с"&amp;"текло, плавленый кварц, трепел);,Кремния диоксид кристаллический при содержании в пыле от 2 до 10 % (горючие кукерситные сланцы, медно сульфидные руды и др.),Крохмал,Кремния карбид (карборунд).,Полимеры и сополимеры на основе акриловых и метакриловых моно"&amp;"меров,Полипропилен,Полиэтилен,Зерновая,Мучная,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хлопковая,"&amp;" льняная, шерстяная, пуховая и др. (с примесью диоксида кремния от 2 до 10 %),Асбестопородные пыли при содержании в них асбеста до 10 %,Слюды, тальк, талькопородные пыли содержащие до 10% свободного диоксида кремния,Цемент, оливин, апатит, форстерит, глин"&amp;"а, шамот каолиновый,Сажи черные промышленные с содержанием бензапирена не более 35 мг на 1 кг")</f>
        <v>Азота диоксид,Аммиак,Ангидрид сернистый,Ангидрид хромовый,Ацетон,Бутилметакрилат,Водорода хлорид,Диметиланилин,Этиленгликоль,Этилацетат ,Этилена оксид,Камфора,Кислота уксусная,Кислота серная,Левомицетин,Медь,Масла минеральные нефтяные,Метилметакрилат,Никеля соли в виде гидроаэрозоля (по Ni),Озон,Стирол,Углерода оксид,Фенол,Цинка оксид,Щелочи едкие (растворы в перерасчете на NaOH),Марганець в сварочном аэрозоле: (до 20% и 20-30%),Кремния диоксид аморфный в виде аэрозоля дезинтеграции (диатомит, кварцевое стекло, плавленый кварц, трепел);,Кремния диоксид кристаллический при содержании в пыле от 2 до 10 % (горючие кукерситные сланцы, медно сульфидные руды и др.),Крохмал,Кремния карбид (карборунд).,Полимеры и сополимеры на основе акриловых и метакриловых мономеров,Полипропилен,Полиэтилен,Зерновая,Мучная,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10 %),Асбестопородные пыли при содержании в них асбеста до 10 %,Слюды, тальк, талькопородные пыли содержащие до 10% свободного диоксида кремния,Цемент, оливин, апатит, форстерит, глина, шамот каолиновый,Сажи черные промышленные с содержанием бензапирена не более 35 мг на 1 кг</v>
      </c>
      <c r="I80" s="17" t="str">
        <f>IFERROR(__xludf.DUMMYFUNCTION("""COMPUTED_VALUE"""),"")</f>
        <v/>
      </c>
      <c r="J80" s="17" t="str">
        <f>IFERROR(__xludf.DUMMYFUNCTION("""COMPUTED_VALUE"""),"Важкість праці,Напруженість праці")</f>
        <v>Важкість праці,Напруженість праці</v>
      </c>
      <c r="K80" s="18">
        <f>IFERROR(__xludf.DUMMYFUNCTION("""COMPUTED_VALUE"""),43462.0)</f>
        <v>43462</v>
      </c>
      <c r="L80" s="18" t="str">
        <f>IFERROR(__xludf.DUMMYFUNCTION("""COMPUTED_VALUE"""),"")</f>
        <v/>
      </c>
    </row>
    <row r="81">
      <c r="A81" s="11">
        <f t="shared" si="1"/>
        <v>78</v>
      </c>
      <c r="B81" s="16" t="str">
        <f>IFERROR(__xludf.DUMMYFUNCTION("""COMPUTED_VALUE"""),"Олександрійський міськміжрайонний відділ ДУ ""Кіровоградський обласний лабораторний центр МОЗ України""")</f>
        <v>Олександрійський міськміжрайонний відділ ДУ "Кіровоградський обласний лабораторний центр МОЗ України"</v>
      </c>
      <c r="C81" s="16" t="str">
        <f>IFERROR(__xludf.DUMMYFUNCTION("""COMPUTED_VALUE"""),"Кіровоградська")</f>
        <v>Кіровоградська</v>
      </c>
      <c r="D81" s="16" t="str">
        <f>IFERROR(__xludf.DUMMYFUNCTION("""COMPUTED_VALUE"""),"Олександрія")</f>
        <v>Олександрія</v>
      </c>
      <c r="E81" s="16" t="str">
        <f>IFERROR(__xludf.DUMMYFUNCTION("""COMPUTED_VALUE"""),"вул. Софіївська, 41")</f>
        <v>вул. Софіївська, 41</v>
      </c>
      <c r="F81" s="17" t="str">
        <f>IFERROR(__xludf.DUMMYFUNCTION("""COMPUTED_VALUE"""),"05235-7-10-92")</f>
        <v>05235-7-10-92</v>
      </c>
      <c r="G81" s="17" t="str">
        <f>IFERROR(__xludf.DUMMYFUNCTION("""COMPUTED_VALUE"""),"Вібрація загальна та локальна,Шум,Мікроклімат,Освітлення,Атмосферний тиск")</f>
        <v>Вібрація загальна та локальна,Шум,Мікроклімат,Освітлення,Атмосферний тиск</v>
      </c>
      <c r="H81" s="17" t="str">
        <f>IFERROR(__xludf.DUMMYFUNCTION("""COMPUTED_VALUE"""),"Азота диоксид,Азота оксид (IV) в перерарасчете на (NO2),Аммиак,Ангидрид сернистый,Ангидрид хромовый,Ацетон,Бензол,Водорода хлорид,Водород фтористий (в пересчете на F),Кислота уксусная,Кислота серная,Ксилол (мета-,орто-, пара-),Медь,Масла минеральные нефтя"&amp;"ные,Никеля соли в виде гидроаэрозоля (по Ni),Озон,Селен,Сероводород,Свинец и его неорганические соединения (по свинцу),Толуол,Углерода оксид,Фенол,Формальдегид,Хлор,Хрома оксид (по Cr+3),Цинка оксид,Щелочи едкие (растворы в перерасчете на NaOH),Марганець "&amp;"в сварочном аэрозоле: (до 20% и 20-30%),Зерновая,Мучная,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"&amp;"хлопковая, льняная, шерстяная, пуховая и др. (с примесью диоксида кремния от 2 до 10 %),Коксы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св"&amp;"ободного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волокон,Углеродны"&amp;"е волокнистые материалы на основе гидрат полиакрилонитрильных волокон")</f>
        <v>Азота диоксид,Азота оксид (IV) в перерарасчете на (NO2),Аммиак,Ангидрид сернистый,Ангидрид хромовый,Ацетон,Бензол,Водорода хлорид,Водород фтористий (в пересчете на F),Кислота уксусная,Кислота серная,Ксилол (мета-,орто-, пара-),Медь,Масла минеральные нефтяные,Никеля соли в виде гидроаэрозоля (по Ni),Озон,Селен,Сероводород,Свинец и его неорганические соединения (по свинцу),Толуол,Углерода оксид,Фенол,Формальдегид,Хлор,Хрома оксид (по Cr+3),Цинка оксид,Щелочи едкие (растворы в перерасчете на NaOH),Марганець в сварочном аэрозоле: (до 20% и 20-30%),Зерновая,Мучная,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v>
      </c>
      <c r="I81" s="17" t="str">
        <f>IFERROR(__xludf.DUMMYFUNCTION("""COMPUTED_VALUE"""),"")</f>
        <v/>
      </c>
      <c r="J81" s="17" t="str">
        <f>IFERROR(__xludf.DUMMYFUNCTION("""COMPUTED_VALUE"""),"")</f>
        <v/>
      </c>
      <c r="K81" s="18">
        <f>IFERROR(__xludf.DUMMYFUNCTION("""COMPUTED_VALUE"""),43462.0)</f>
        <v>43462</v>
      </c>
      <c r="L81" s="18" t="str">
        <f>IFERROR(__xludf.DUMMYFUNCTION("""COMPUTED_VALUE"""),"")</f>
        <v/>
      </c>
    </row>
    <row r="82">
      <c r="A82" s="11">
        <f t="shared" si="1"/>
        <v>79</v>
      </c>
      <c r="B82" s="16" t="str">
        <f>IFERROR(__xludf.DUMMYFUNCTION("""COMPUTED_VALUE"""),"Санітарна лабораторія експертизи умов праці управління праці департаменту соціальної політики Івано-Франківської ОДА")</f>
        <v>Санітарна лабораторія експертизи умов праці управління праці департаменту соціальної політики Івано-Франківської ОДА</v>
      </c>
      <c r="C82" s="16" t="str">
        <f>IFERROR(__xludf.DUMMYFUNCTION("""COMPUTED_VALUE"""),"Івано-Франківська")</f>
        <v>Івано-Франківська</v>
      </c>
      <c r="D82" s="16" t="str">
        <f>IFERROR(__xludf.DUMMYFUNCTION("""COMPUTED_VALUE"""),"Івано-Франківськ")</f>
        <v>Івано-Франківськ</v>
      </c>
      <c r="E82" s="16" t="str">
        <f>IFERROR(__xludf.DUMMYFUNCTION("""COMPUTED_VALUE"""),"вул. Січових Стрільців, 8")</f>
        <v>вул. Січових Стрільців, 8</v>
      </c>
      <c r="F82" s="17" t="str">
        <f>IFERROR(__xludf.DUMMYFUNCTION("""COMPUTED_VALUE"""),"0342-75-00-01")</f>
        <v>0342-75-00-01</v>
      </c>
      <c r="G82" s="17" t="str">
        <f>IFERROR(__xludf.DUMMYFUNCTION("""COMPUTED_VALUE"""),"Вібрація загальна та локальна,Шум,Мікроклімат,Освітлення,Атмосферний тиск")</f>
        <v>Вібрація загальна та локальна,Шум,Мікроклімат,Освітлення,Атмосферний тиск</v>
      </c>
      <c r="H82" s="17" t="str">
        <f>IFERROR(__xludf.DUMMYFUNCTION("""COMPUTED_VALUE"""),"Азота диоксид,Азота оксид (IV) в перерарасчете на (NO2),Акролеин,Алюминий и його сплавы,Амилацетат,Аммиак,Ангидрид сернистый,Ангидрид фосфорный,Ангидрид хромовый,Ацетон,Бензин,Бензол,Бутилацетат,Бутилметакрилат,Бутилакрилат,Винилацетат,Водорода хлорид,Вод"&amp;"ород фосфористый (фосфин),Водород фтористий (в пересчете на F),Вулканизационные газы шинного производства (резины на основе СКИ-3, СКД, СКС-30, АРКМ-15) по суммарному содержанию аминосоединений в воздухе,2,6-Диметилфенол,Дихлорбензол,Этиленгликоль,Этилаце"&amp;"тат ,Калия соли ортофосфорной кислоты,Карбамид (мочевина),Кислота муравьиная,Кислота уксусная,Кислота серная,Ксилол (мета-,орто-, пара-),Медь,Марганца оксиды (в пересчете на MnO2) аэрозоль дезинтеграции,Масла минеральные нефтяные,Метилметакрилат,Натрия ни"&amp;"трат,Натрия хлорид,Никель, никеля оксиды, сульфиды и смеси соединений никеля (файнштейн, никелевый концентрат и агломерат, оборотная пыль очистных устройств (по Ni)
,Озон,Пропилацетат,Ренацит-4,Ртуть,Сероводород,Свинец и его неорганические соединения (по "&amp;"свинцу),Сода кальцинированная,Сольвент-нафта,Спирт метиловий,Стирол,Толуол,Уайт-спирит (в пересчете на С),Углеводороды алифатические предельные,Углерода оксид,Фенол,Формальдегид,Фенопласты,Хлор,Хрома оксид (по Cr+3),Цинка оксид,Щелочи едкие (растворы в пе"&amp;"рерасчете на NaOH),Алюминия оксид в виде аэрозоля дезинтеграции (глинозем, электрокорунд, монокорунд),Марганець в сварочном аэрозоле: (до 20% и 20-30%),Известняк,Корунд белый,Кремния диоксид аморфный в виде аэрозоля конденсации при содержании: больше 60 %"&amp;",Кремния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аморфный в виде аэрозоля дезинтеграции (диатомит, кварцевое стекло, плавленый квар"&amp;"ц, трепел);,Кремния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др.),К"&amp;"ремния диоксид кристаллический при содержании в пыле от 2 до 10 % (горючие кукерситные сланцы, медно сульфидные руды и др.),Кремния карбид (карборунд).,Полимеры и сополимеры на основе акриловых и метакриловых мономеров,Полимеры на основе стирола,Чугун в с"&amp;"месе с електрокорундом до 20%,Зерновая,Мучная,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хлопковая,"&amp;" льняная, шерстяная, пуховая и др. (с примесью диоксида кремния от 2 до 10 %),Силикатсодержащие пыли, силикаты, алюмосиликаты при содержании асбеста менее 10%; асбестоцемент,Силикатсодержащие пыли, силикаты, алюмосиликаты при содержанииасбеста от 10 до 20"&amp;"%
,Силикатсодержащие пыли, силикаты, алюмосиликаты асбесты природные (хризолит, актофиллит, эктинолит, тремолит, магнезиарфведсонит) и синтетическиеасбесты, а такжесмешанныеасбестопородныепыли при содержании в них асбестаболее 20%;
,Асбестопородные пыли "&amp;"при содержании в них асбеста до 10 %,Асбестоцемент неокрашенный и цветной,Асбестобакелит, асбесторезина,Слюды, тальк, талькопородные пыли содержащие до 10% свободного диоксида кремния,Искусственные минеральные волокна силикатные и алюмосиликатные стеклооб"&amp;"разной структуры,Цемент, оливин, апатит, форстерит, глина, шамот каолиновый,Коксы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дио"&amp;"ксида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волокнисты"&amp;"е материалы на основе гидрат полиакрилонитрильных волокон")</f>
        <v>Азота диоксид,Азота оксид (IV) в перерарасчете на (NO2),Акролеин,Алюминий и його сплавы,Амилацетат,Аммиак,Ангидрид сернистый,Ангидрид фосфорный,Ангидрид хромовый,Ацетон,Бензин,Бензол,Бутилацетат,Бутилметакрилат,Бутилакрилат,Винилацетат,Водорода хлорид,Водород фосфористый (фосфин),Водород фтористий (в пересчете на F),Вулканизационные газы шинного производства (резины на основе СКИ-3, СКД, СКС-30, АРКМ-15) по суммарному содержанию аминосоединений в воздухе,2,6-Диметилфенол,Дихлорбензол,Этиленгликоль,Этилацетат ,Калия соли ортофосфорной кислоты,Карбамид (мочевина),Кислота муравьиная,Кислота уксусная,Кислота серная,Ксилол (мета-,орто-, пара-),Медь,Марганца оксиды (в пересчете на MnO2) аэрозоль дезинтеграции,Масла минеральные нефтяные,Метилметакрилат,Натрия нитрат,Натрия хлорид,Никель, никеля оксиды, сульфиды и смеси соединений никеля (файнштейн, никелевый концентрат и агломерат, оборотная пыль очистных устройств (по Ni)
,Озон,Пропилацетат,Ренацит-4,Ртуть,Сероводород,Свинец и его неорганические соединения (по свинцу),Сода кальцинированная,Сольвент-нафта,Спирт метиловий,Стирол,Толуол,Уайт-спирит (в пересчете на С),Углеводороды алифатические предельные,Углерода оксид,Фенол,Формальдегид,Фенопласты,Хлор,Хрома оксид (по Cr+3),Цинка оксид,Щелочи едкие (растворы в перерасчете на NaOH),Алюминия оксид в виде аэрозоля дезинтеграции (глинозем, электрокорунд, монокорунд),Марганець в сварочном аэрозоле: (до 20% и 20-30%),Известняк,Корунд белый,Кремния диоксид аморфный в виде аэрозоля конденсации при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аморфный в виде аэрозоля дезинтеграции (диатомит, кварцевое стекло, плавленый кварц, трепел);,Кремния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др.),Кремния карбид (карборунд).,Полимеры и сополимеры на основе акриловых и метакриловых мономеров,Полимеры на основе стирола,Чугун в смесе с електрокорундом до 20%,Зерновая,Мучная,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10 %),Силикатсодержащие пыли, силикаты, алюмосиликаты при содержании асбеста менее 10%; асбестоцемент,Силикатсодержащие пыли, силикаты, алюмосиликаты при содержанииасбеста от 10 до 20%
,Силикатсодержащие пыли, силикаты, алюмосиликаты асбесты природные (хризолит, актофиллит, эктинолит, тремолит, магнезиарфведсонит) и синтетическиеасбесты, а такжесмешанныеасбестопородныепыли при содержании в них асбестаболее 20%;
,Асбестопородные пыли при содержании в них асбеста до 10 %,Асбестоцемент неокрашенный и цветной,Асбестобакелит, асбесторезина,Слюды,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v>
      </c>
      <c r="I82" s="17" t="str">
        <f>IFERROR(__xludf.DUMMYFUNCTION("""COMPUTED_VALUE"""),"")</f>
        <v/>
      </c>
      <c r="J82" s="17" t="str">
        <f>IFERROR(__xludf.DUMMYFUNCTION("""COMPUTED_VALUE"""),"Важкість праці,Напруженість праці")</f>
        <v>Важкість праці,Напруженість праці</v>
      </c>
      <c r="K82" s="18">
        <f>IFERROR(__xludf.DUMMYFUNCTION("""COMPUTED_VALUE"""),43463.0)</f>
        <v>43463</v>
      </c>
      <c r="L82" s="18" t="str">
        <f>IFERROR(__xludf.DUMMYFUNCTION("""COMPUTED_VALUE"""),"")</f>
        <v/>
      </c>
    </row>
    <row r="83">
      <c r="A83" s="11">
        <f t="shared" si="1"/>
        <v>80</v>
      </c>
      <c r="B83" s="16" t="str">
        <f>IFERROR(__xludf.DUMMYFUNCTION("""COMPUTED_VALUE"""),"ДП ""Антонов"" лабораторія гігієни праці та промислової санітарії")</f>
        <v>ДП "Антонов" лабораторія гігієни праці та промислової санітарії</v>
      </c>
      <c r="C83" s="16" t="str">
        <f>IFERROR(__xludf.DUMMYFUNCTION("""COMPUTED_VALUE"""),"Київська")</f>
        <v>Київська</v>
      </c>
      <c r="D83" s="16" t="str">
        <f>IFERROR(__xludf.DUMMYFUNCTION("""COMPUTED_VALUE"""),"Київ")</f>
        <v>Київ</v>
      </c>
      <c r="E83" s="16" t="str">
        <f>IFERROR(__xludf.DUMMYFUNCTION("""COMPUTED_VALUE"""),"вул. Академіка Туполєва, 1")</f>
        <v>вул. Академіка Туполєва, 1</v>
      </c>
      <c r="F83" s="17" t="str">
        <f>IFERROR(__xludf.DUMMYFUNCTION("""COMPUTED_VALUE"""),"044-454-34-07")</f>
        <v>044-454-34-07</v>
      </c>
      <c r="G83" s="17" t="str">
        <f>IFERROR(__xludf.DUMMYFUNCTION("""COMPUTED_VALUE"""),"Вібрація загальна та локальна,Шум,Мікроклімат,Освітлення,Атмосферний тиск")</f>
        <v>Вібрація загальна та локальна,Шум,Мікроклімат,Освітлення,Атмосферний тиск</v>
      </c>
      <c r="H83" s="17" t="str">
        <f>IFERROR(__xludf.DUMMYFUNCTION("""COMPUTED_VALUE"""),"Азота диоксид,Аммиак,Ангидрид сернистый,Ангидрид хромовый,Ацетон,Бора нитрид кубический и гексагональный,Водорода хлорид,Электрокорунд, электрокорунд хромистый,Эпихлоргидрин,Кислота серная,Медь,Масла минеральные нефтяные,Озон,Свинец и его неорганические с"&amp;"оединения (по свинцу),Углеводороды алифатические предельные,Углерода оксид,Фенол,Формальдегид,Фенолформальдегидные смолы по фенолу,Фенолформальдегидные смолы формальдегиду,Хлор,Хроматы, бихроматы,Хрома оксид (по Cr+3),Цинка оксид,Щелочи едкие (растворы в "&amp;"перерасчете на NaOH),Углеродные композиционные материалы,Марганець в сварочном аэрозоле: (до 20% и 20-30%),Известняк,Кремния диоксид кристаллический при содержании в пыле от 2 до 10 % (горючие кукерситные сланцы, медно сульфидные руды и др.),Кремния карби"&amp;"д (карборунд).,Органопластики (органоволокниты),Полимеры на основе стирола,Шамотнографитовые огнеупоры,Мучная, древесная и др. (с примесью диоксида кремния меньше 2 %),Лубяная, хлопчато-бумажная, хлопковая, льняная, шерстяная, пуховая и др. (с примесью ди"&amp;"оксида кремния более 10%),Искусственные минеральные волокна силикатные и алюмосиликатные стеклообразной структуры,Цемент, оливин, апатит, форстерит, глина, шамот каолиновый")</f>
        <v>Азота диоксид,Аммиак,Ангидрид сернистый,Ангидрид хромовый,Ацетон,Бора нитрид кубический и гексагональный,Водорода хлорид,Электрокорунд, электрокорунд хромистый,Эпихлоргидрин,Кислота серная,Медь,Масла минеральные нефтяные,Озон,Свинец и его неорганические соединения (по свинцу),Углеводороды алифатические предельные,Углерода оксид,Фенол,Формальдегид,Фенолформальдегидные смолы по фенолу,Фенолформальдегидные смолы формальдегиду,Хлор,Хроматы, бихроматы,Хрома оксид (по Cr+3),Цинка оксид,Щелочи едкие (растворы в перерасчете на NaOH),Углеродные композиционные материалы,Марганець в сварочном аэрозоле: (до 20% и 20-30%),Известняк,Кремния диоксид кристаллический при содержании в пыле от 2 до 10 % (горючие кукерситные сланцы, медно сульфидные руды и др.),Кремния карбид (карборунд).,Органопластики (органоволокниты),Полимеры на основе стирола,Шамотнографитовые огнеупоры,Мучная,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10%),Искусственные минеральные волокна силикатные и алюмосиликатные стеклообразной структуры,Цемент, оливин, апатит, форстерит, глина, шамот каолиновый</v>
      </c>
      <c r="I83" s="17" t="str">
        <f>IFERROR(__xludf.DUMMYFUNCTION("""COMPUTED_VALUE"""),"")</f>
        <v/>
      </c>
      <c r="J83" s="17" t="str">
        <f>IFERROR(__xludf.DUMMYFUNCTION("""COMPUTED_VALUE"""),"Важкість праці,Напруженість праці")</f>
        <v>Важкість праці,Напруженість праці</v>
      </c>
      <c r="K83" s="18">
        <f>IFERROR(__xludf.DUMMYFUNCTION("""COMPUTED_VALUE"""),43468.0)</f>
        <v>43468</v>
      </c>
      <c r="L83" s="18" t="str">
        <f>IFERROR(__xludf.DUMMYFUNCTION("""COMPUTED_VALUE"""),"")</f>
        <v/>
      </c>
    </row>
    <row r="84">
      <c r="A84" s="11">
        <f t="shared" si="1"/>
        <v>81</v>
      </c>
      <c r="B84" s="16" t="str">
        <f>IFERROR(__xludf.DUMMYFUNCTION("""COMPUTED_VALUE"""),"ПАТ ""Сумихімпром"" санітарна лабораторія")</f>
        <v>ПАТ "Сумихімпром" санітарна лабораторія</v>
      </c>
      <c r="C84" s="16" t="str">
        <f>IFERROR(__xludf.DUMMYFUNCTION("""COMPUTED_VALUE"""),"Сумська")</f>
        <v>Сумська</v>
      </c>
      <c r="D84" s="16" t="str">
        <f>IFERROR(__xludf.DUMMYFUNCTION("""COMPUTED_VALUE"""),"Суми")</f>
        <v>Суми</v>
      </c>
      <c r="E84" s="16" t="str">
        <f>IFERROR(__xludf.DUMMYFUNCTION("""COMPUTED_VALUE"""),"вул. Харківська, п/в 12")</f>
        <v>вул. Харківська, п/в 12</v>
      </c>
      <c r="F84" s="17" t="str">
        <f>IFERROR(__xludf.DUMMYFUNCTION("""COMPUTED_VALUE"""),"0542-68-32-07     050-307-33-18")</f>
        <v>0542-68-32-07     050-307-33-18</v>
      </c>
      <c r="G84" s="17" t="str">
        <f>IFERROR(__xludf.DUMMYFUNCTION("""COMPUTED_VALUE"""),"Вібрація загальна та локальна,Шум,Неіонізуюче випромінювання,Мікроклімат,Освітлення")</f>
        <v>Вібрація загальна та локальна,Шум,Неіонізуюче випромінювання,Мікроклімат,Освітлення</v>
      </c>
      <c r="H84" s="17" t="str">
        <f>IFERROR(__xludf.DUMMYFUNCTION("""COMPUTED_VALUE"""),"Азота диоксид,Алюминия сульфат,Аммиак,Ангидрид сернистый,Водорода хлорид,Водород фтористий (в пересчете на F),Электрокорунд, электрокорунд хромистый,Карбамид (мочевина),Кислота серная,Марганца оксиды (в пересчете на MnO2) аэрозоль дезинтеграции,Марганца о"&amp;"ксиды (в пересчете на MnO2) аэрозоль конденсации,Масла минеральные нефтяные,Озон,Сера элементарная,Сероводород,Свинец и его неорганические соединения (по свинцу),Сода кальцинированная,Титан и его диоксид,Формальдегид,Хлор,Щелочи едкие (растворы в перерасч"&amp;"ете на NaOH),Алюминия оксид в виде аэрозоля дезинтеграции (глинозем, электрокорунд, монокорунд),Марганець в сварочном аэрозоле: (до 20% и 20-30%),Алюминия гидроксид,Аммония сульфат ,Аммофос+ (смесь моно- и диаммоний фосфатов),Железа сульфат,Известняк,Кали"&amp;"я хлорид,Кальция оксид,Кремния диоксид кристаллический (кварц, кристобелит, тридимит) при содержании в пыли больше 70% (кварцит, динас и др.);,Поливинилхлорид,Полиэтилен,Магния сульфат,Удобрение сложное минеральное,Фосфогипс,Фосфорит,Мучная, древесная и д"&amp;"р. (с примесью диоксида кремния меньше 2 %),Силикаты стеклообразные вулканического происхождения (туфы, пемза, перлит) ,Цемент, оливин, апатит, форстерит, глина, шамот каолиновый,Суперфосфат")</f>
        <v>Азота диоксид,Алюминия сульфат,Аммиак,Ангидрид сернистый,Водорода хлорид,Водород фтористий (в пересчете на F),Электрокорунд, электрокорунд хромистый,Карбамид (мочевина),Кислота серная,Марганца оксиды (в пересчете на MnO2) аэрозоль дезинтеграции,Марганца оксиды (в пересчете на MnO2) аэрозоль конденсации,Масла минеральные нефтяные,Озон,Сера элементарная,Сероводород,Свинец и его неорганические соединения (по свинцу),Сода кальцинированная,Титан и его диоксид,Формальдегид,Хлор,Щелочи едкие (растворы в перерасчете на NaOH),Алюминия оксид в виде аэрозоля дезинтеграции (глинозем, электрокорунд, монокорунд),Марганець в сварочном аэрозоле: (до 20% и 20-30%),Алюминия гидроксид,Аммония сульфат ,Аммофос+ (смесь моно- и диаммоний фосфатов),Железа сульфат,Известняк,Калия хлорид,Кальция оксид,Кремния диоксид кристаллический (кварц, кристобелит, тридимит) при содержании в пыли больше 70% (кварцит, динас и др.);,Поливинилхлорид,Полиэтилен,Магния сульфат,Удобрение сложное минеральное,Фосфогипс,Фосфорит,Мучная, древесная и др. (с примесью диоксида кремния меньше 2 %),Силикаты стеклообразные вулканического происхождения (туфы, пемза, перлит) ,Цемент, оливин, апатит, форстерит, глина, шамот каолиновый,Суперфосфат</v>
      </c>
      <c r="I84" s="17" t="str">
        <f>IFERROR(__xludf.DUMMYFUNCTION("""COMPUTED_VALUE"""),"")</f>
        <v/>
      </c>
      <c r="J84" s="17" t="str">
        <f>IFERROR(__xludf.DUMMYFUNCTION("""COMPUTED_VALUE"""),"Важкість праці,Напруженість праці")</f>
        <v>Важкість праці,Напруженість праці</v>
      </c>
      <c r="K84" s="18">
        <f>IFERROR(__xludf.DUMMYFUNCTION("""COMPUTED_VALUE"""),43468.0)</f>
        <v>43468</v>
      </c>
      <c r="L84" s="18" t="str">
        <f>IFERROR(__xludf.DUMMYFUNCTION("""COMPUTED_VALUE"""),"")</f>
        <v/>
      </c>
    </row>
    <row r="85">
      <c r="A85" s="11">
        <f t="shared" si="1"/>
        <v>82</v>
      </c>
      <c r="B85" s="16" t="str">
        <f>IFERROR(__xludf.DUMMYFUNCTION("""COMPUTED_VALUE"""),"ДП ""Запорізький експертно-технічний центр Держпраці""")</f>
        <v>ДП "Запорізький експертно-технічний центр Держпраці"</v>
      </c>
      <c r="C85" s="16" t="str">
        <f>IFERROR(__xludf.DUMMYFUNCTION("""COMPUTED_VALUE"""),"Запорізька")</f>
        <v>Запорізька</v>
      </c>
      <c r="D85" s="16" t="str">
        <f>IFERROR(__xludf.DUMMYFUNCTION("""COMPUTED_VALUE"""),"Запоріжжя")</f>
        <v>Запоріжжя</v>
      </c>
      <c r="E85" s="16" t="str">
        <f>IFERROR(__xludf.DUMMYFUNCTION("""COMPUTED_VALUE"""),"Північне шосе, 25")</f>
        <v>Північне шосе, 25</v>
      </c>
      <c r="F85" s="17" t="str">
        <f>IFERROR(__xludf.DUMMYFUNCTION("""COMPUTED_VALUE"""),"061-708-05-30")</f>
        <v>061-708-05-30</v>
      </c>
      <c r="G85" s="17" t="str">
        <f>IFERROR(__xludf.DUMMYFUNCTION("""COMPUTED_VALUE"""),"Вібрація загальна та локальна,Шум,Неіонізуюче випромінювання,Мікроклімат,Освітлення")</f>
        <v>Вібрація загальна та локальна,Шум,Неіонізуюче випромінювання,Мікроклімат,Освітлення</v>
      </c>
      <c r="H85" s="17" t="str">
        <f>IFERROR(__xludf.DUMMYFUNCTION("""COMPUTED_VALUE"""),"Азота оксид (IV) в перерарасчете на (NO2),Аммиак,Ацетон,Бензин,Бензол,Бутан,Бутилацетат,Винила хлорид,Изобутилен,Этилен,Керосин,Ксилол (мета-,орто-, пара-),Сероводород,Скипидар,Спирт н-бутиловый, бутиловый вторичный и третичный
,Спирт пропиловый,Стирол,Те"&amp;"трахлорэтилен,Трихлорэтилен,Толуол,Уайт-спирит (в пересчете на С),Углеводороды алифатические предельные,Углерода оксид,Хлор,Метилэтилкетон")</f>
        <v>Азота оксид (IV) в перерарасчете на (NO2),Аммиак,Ацетон,Бензин,Бензол,Бутан,Бутилацетат,Винила хлорид,Изобутилен,Этилен,Керосин,Ксилол (мета-,орто-, пара-),Сероводород,Скипидар,Спирт н-бутиловый, бутиловый вторичный и третичный
,Спирт пропиловый,Стирол,Тетрахлорэтилен,Трихлорэтилен,Толуол,Уайт-спирит (в пересчете на С),Углеводороды алифатические предельные,Углерода оксид,Хлор,Метилэтилкетон</v>
      </c>
      <c r="I85" s="17" t="str">
        <f>IFERROR(__xludf.DUMMYFUNCTION("""COMPUTED_VALUE"""),"")</f>
        <v/>
      </c>
      <c r="J85" s="17" t="str">
        <f>IFERROR(__xludf.DUMMYFUNCTION("""COMPUTED_VALUE"""),"Важкість праці,Напруженість праці")</f>
        <v>Важкість праці,Напруженість праці</v>
      </c>
      <c r="K85" s="18">
        <f>IFERROR(__xludf.DUMMYFUNCTION("""COMPUTED_VALUE"""),43468.0)</f>
        <v>43468</v>
      </c>
      <c r="L85" s="18" t="str">
        <f>IFERROR(__xludf.DUMMYFUNCTION("""COMPUTED_VALUE"""),"")</f>
        <v/>
      </c>
    </row>
    <row r="86">
      <c r="A86" s="11">
        <f t="shared" si="1"/>
        <v>83</v>
      </c>
      <c r="B86" s="16" t="str">
        <f>IFERROR(__xludf.DUMMYFUNCTION("""COMPUTED_VALUE"""),"Вовчанська міжрайонна філія ДУ ""Харківський обласний лабораторний центр МОЗ України""")</f>
        <v>Вовчанська міжрайонна філія ДУ "Харківський обласний лабораторний центр МОЗ України"</v>
      </c>
      <c r="C86" s="16" t="str">
        <f>IFERROR(__xludf.DUMMYFUNCTION("""COMPUTED_VALUE"""),"Харківська")</f>
        <v>Харківська</v>
      </c>
      <c r="D86" s="16" t="str">
        <f>IFERROR(__xludf.DUMMYFUNCTION("""COMPUTED_VALUE"""),"Вовчанськ")</f>
        <v>Вовчанськ</v>
      </c>
      <c r="E86" s="16" t="str">
        <f>IFERROR(__xludf.DUMMYFUNCTION("""COMPUTED_VALUE"""),"вул. Привокзальна, 12")</f>
        <v>вул. Привокзальна, 12</v>
      </c>
      <c r="F86" s="17" t="str">
        <f>IFERROR(__xludf.DUMMYFUNCTION("""COMPUTED_VALUE"""),"05741-4-69-51")</f>
        <v>05741-4-69-51</v>
      </c>
      <c r="G86" s="17" t="str">
        <f>IFERROR(__xludf.DUMMYFUNCTION("""COMPUTED_VALUE"""),"Шум,Неіонізуюче випромінювання,Іонізуюче випромінювання,Мікроклімат,Освітлення")</f>
        <v>Шум,Неіонізуюче випромінювання,Іонізуюче випромінювання,Мікроклімат,Освітлення</v>
      </c>
      <c r="H86" s="17" t="str">
        <f>IFERROR(__xludf.DUMMYFUNCTION("""COMPUTED_VALUE"""),"Азота диоксид,Аммиак,Ангидрид сернистый,Ангидрид хромовый,Ацетон,Бензол,Водорода хлорид,Водорода цианид,Этилацетат ,Кислота серная,Ксилол (мета-,орто-, пара-),Марганца оксиды (в пересчете на MnO2) аэрозоль дезинтеграции,Марганца оксиды (в пересчете на MnO"&amp;"2) аэрозоль конденсации,Озон,Ртуть,Сероводород,Свинец и его неорганические соединения (по свинцу),Титан и его диоксид,Толуол,Углерода оксид,Фенол,Формальдегид,Хлор,Щелочи едкие (растворы в перерасчете на NaOH),Марганець в сварочном аэрозоле: (до 20% и 20-"&amp;"30%),Зерновая,Мучная,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пухо"&amp;"вая и др. (с примесью диоксида кремния от 2 до 10 %)")</f>
        <v>Азота диоксид,Аммиак,Ангидрид сернистый,Ангидрид хромовый,Ацетон,Бензол,Водорода хлорид,Водорода цианид,Этилацетат ,Кислота серная,Ксилол (мета-,орто-, пара-),Марганца оксиды (в пересчете на MnO2) аэрозоль дезинтеграции,Марганца оксиды (в пересчете на MnO2) аэрозоль конденсации,Озон,Ртуть,Сероводород,Свинец и его неорганические соединения (по свинцу),Титан и его диоксид,Толуол,Углерода оксид,Фенол,Формальдегид,Хлор,Щелочи едкие (растворы в перерасчете на NaOH),Марганець в сварочном аэрозоле: (до 20% и 20-30%),Зерновая,Мучная,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v>
      </c>
      <c r="I86" s="17" t="str">
        <f>IFERROR(__xludf.DUMMYFUNCTION("""COMPUTED_VALUE"""),"")</f>
        <v/>
      </c>
      <c r="J86" s="17" t="str">
        <f>IFERROR(__xludf.DUMMYFUNCTION("""COMPUTED_VALUE"""),"")</f>
        <v/>
      </c>
      <c r="K86" s="18">
        <f>IFERROR(__xludf.DUMMYFUNCTION("""COMPUTED_VALUE"""),43469.0)</f>
        <v>43469</v>
      </c>
      <c r="L86" s="18" t="str">
        <f>IFERROR(__xludf.DUMMYFUNCTION("""COMPUTED_VALUE"""),"")</f>
        <v/>
      </c>
    </row>
    <row r="87">
      <c r="A87" s="11">
        <f t="shared" si="1"/>
        <v>84</v>
      </c>
      <c r="B87" s="16" t="str">
        <f>IFERROR(__xludf.DUMMYFUNCTION("""COMPUTED_VALUE"""),"ДП ""Придніпровський експертно-технічний центр Держпраці""")</f>
        <v>ДП "Придніпровський експертно-технічний центр Держпраці"</v>
      </c>
      <c r="C87" s="16" t="str">
        <f>IFERROR(__xludf.DUMMYFUNCTION("""COMPUTED_VALUE"""),"Дніпропетровська")</f>
        <v>Дніпропетровська</v>
      </c>
      <c r="D87" s="16" t="str">
        <f>IFERROR(__xludf.DUMMYFUNCTION("""COMPUTED_VALUE"""),"Дніпро")</f>
        <v>Дніпро</v>
      </c>
      <c r="E87" s="16" t="str">
        <f>IFERROR(__xludf.DUMMYFUNCTION("""COMPUTED_VALUE"""),"вул. Казакова, 3")</f>
        <v>вул. Казакова, 3</v>
      </c>
      <c r="F87" s="17" t="str">
        <f>IFERROR(__xludf.DUMMYFUNCTION("""COMPUTED_VALUE"""),"056-790-10-11")</f>
        <v>056-790-10-11</v>
      </c>
      <c r="G87" s="17" t="str">
        <f>IFERROR(__xludf.DUMMYFUNCTION("""COMPUTED_VALUE"""),"Вібрація загальна та локальна,Шум,Інфразвук,Неіонізуюче випромінювання,Мікроклімат,Освітлення,Атмосферний тиск")</f>
        <v>Вібрація загальна та локальна,Шум,Інфразвук,Неіонізуюче випромінювання,Мікроклімат,Освітлення,Атмосферний тиск</v>
      </c>
      <c r="H87" s="17" t="str">
        <f>IFERROR(__xludf.DUMMYFUNCTION("""COMPUTED_VALUE"""),"Азота диоксид,Азота оксид (IV) в перерарасчете на (NO2),Аммиак,Сероводород,Углерода оксид")</f>
        <v>Азота диоксид,Азота оксид (IV) в перерарасчете на (NO2),Аммиак,Сероводород,Углерода оксид</v>
      </c>
      <c r="I87" s="17" t="str">
        <f>IFERROR(__xludf.DUMMYFUNCTION("""COMPUTED_VALUE"""),"")</f>
        <v/>
      </c>
      <c r="J87" s="17" t="str">
        <f>IFERROR(__xludf.DUMMYFUNCTION("""COMPUTED_VALUE"""),"Важкість праці,Напруженість праці")</f>
        <v>Важкість праці,Напруженість праці</v>
      </c>
      <c r="K87" s="18">
        <f>IFERROR(__xludf.DUMMYFUNCTION("""COMPUTED_VALUE"""),43482.0)</f>
        <v>43482</v>
      </c>
      <c r="L87" s="18" t="str">
        <f>IFERROR(__xludf.DUMMYFUNCTION("""COMPUTED_VALUE"""),"")</f>
        <v/>
      </c>
    </row>
    <row r="88">
      <c r="A88" s="11">
        <f t="shared" si="1"/>
        <v>85</v>
      </c>
      <c r="B88" s="16" t="str">
        <f>IFERROR(__xludf.DUMMYFUNCTION("""COMPUTED_VALUE"""),"ПрАТ ""РІВНЕАЗОТ"" санітарна лабораторія")</f>
        <v>ПрАТ "РІВНЕАЗОТ" санітарна лабораторія</v>
      </c>
      <c r="C88" s="16" t="str">
        <f>IFERROR(__xludf.DUMMYFUNCTION("""COMPUTED_VALUE"""),"Рівненська")</f>
        <v>Рівненська</v>
      </c>
      <c r="D88" s="16" t="str">
        <f>IFERROR(__xludf.DUMMYFUNCTION("""COMPUTED_VALUE"""),"Рівне")</f>
        <v>Рівне</v>
      </c>
      <c r="E88" s="16" t="str">
        <f>IFERROR(__xludf.DUMMYFUNCTION("""COMPUTED_VALUE"""),"")</f>
        <v/>
      </c>
      <c r="F88" s="17" t="str">
        <f>IFERROR(__xludf.DUMMYFUNCTION("""COMPUTED_VALUE"""),"0362-612-393")</f>
        <v>0362-612-393</v>
      </c>
      <c r="G88" s="17" t="str">
        <f>IFERROR(__xludf.DUMMYFUNCTION("""COMPUTED_VALUE"""),"Вібрація загальна та локальна,Шум,Мікроклімат,Освітлення,Атмосферний тиск")</f>
        <v>Вібрація загальна та локальна,Шум,Мікроклімат,Освітлення,Атмосферний тиск</v>
      </c>
      <c r="H88" s="17" t="str">
        <f>IFERROR(__xludf.DUMMYFUNCTION("""COMPUTED_VALUE"""),"Азота оксид (IV) в перерарасчете на (NO2),Алюминий и його сплавы,Амины алифатические
,Аммиак,Ангидрид сернистый,Ангидрид фосфорный,Ангидрид хромовый,Ацетон,Ацетальдегид,Бензин,Водорода хлорид,Водород фтористий (в пересчете на F),Этилацетат ,Этилена оксид,"&amp;"Кислота азотная,Кислота уксусная,Кислота серная,Ксилол (мета-,орто-, пара-),Медь,Марганца оксиды (в пересчете на MnO2) аэрозоль дезинтеграции,Марганца оксиды (в пересчете на MnO2) аэрозоль конденсации,Масла минеральные нефтяные,Моноэтаноламин,Никель,Никел"&amp;"я соли в виде гидроаэрозоля (по Ni),Озон,Ртуть,Сероводород,Свинец и его неорганические соединения (по свинцу),Спирт этиловий,Титан и его диоксид,Тетрахлорэтилен,Толуол,Уайт-спирит (в пересчете на С),Углеводороды алифатические предельные,Углерода оксид,Угл"&amp;"ерод четыреххлористый,Фенол,Формальдегид,Хлор,Хрома оксид (по Cr+3),Цинка оксид,Щелочи едкие (растворы в перерасчете на NaOH),Алюминий и его сплавы (в перерасчете на алюминий),Марганець в сварочном аэрозоле: (до 20% и 20-30%),Аммиачная селитра,Доломит,Изв"&amp;"естняк,Известково-аммиачная селитра ,Кальция оксид,Кремния диоксид аморфный в виде аэрозоля конденсации при содержании: больше 60 %,Кремния диоксид аморфный в виде аэрозоля конденсации при содержании 60-10 %,Кремния диоксид аморфный в виде аэрозоля конден"&amp;"сации при содержании меньше 10 %,Кремния диоксид аморфный в виде аэрозоля дезинтеграции (диатомит, кварцевое стекло, плавленый кварц, трепел);,Кремния диоксид кристаллический (кварц, кристобелит, тридимит) при содержании в пыли больше 70% (кварцит, динас "&amp;"и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др.),"&amp;"Натрия хлорид,Магнезит,Мучная,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от 2 до 10 %),Силикатсодержащие пыли, силикаты, алюмосиликаты при"&amp;" содержанииасбеста от 10 до 20%
,Силикатсодержащие пыли, силикаты, алюмосиликаты асбесты природные (хризолит, актофиллит, эктинолит, тремолит, магнезиарфведсонит) и синтетическиеасбесты, а такжесмешанныеасбестопородныепыли при содержании в них асбестаболе"&amp;"е 20%;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"&amp;"до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,Другие ископаемые угли и углеродные "&amp;"пыли с содержанием свободного диоксида кремния до 5%, от 5% до 10%,Сажи черные промышленные с содержанием бензапирена не более 35 мг на 1 кг")</f>
        <v>Азота оксид (IV) в перерарасчете на (NO2),Алюминий и його сплавы,Амины алифатические
,Аммиак,Ангидрид сернистый,Ангидрид фосфорный,Ангидрид хромовый,Ацетон,Ацетальдегид,Бензин,Водорода хлорид,Водород фтористий (в пересчете на F),Этилацетат ,Этилена оксид,Кислота азотная,Кислота уксусная,Кислота серная,Ксилол (мета-,орто-, пара-),Медь,Марганца оксиды (в пересчете на MnO2) аэрозоль дезинтеграции,Марганца оксиды (в пересчете на MnO2) аэрозоль конденсации,Масла минеральные нефтяные,Моноэтаноламин,Никель,Никеля соли в виде гидроаэрозоля (по Ni),Озон,Ртуть,Сероводород,Свинец и его неорганические соединения (по свинцу),Спирт этиловий,Титан и его диоксид,Тетрахлорэтилен,Толуол,Уайт-спирит (в пересчете на С),Углеводороды алифатические предельные,Углерода оксид,Углерод четыреххлористый,Фенол,Формальдегид,Хлор,Хрома оксид (по Cr+3),Цинка оксид,Щелочи едкие (растворы в перерасчете на NaOH),Алюминий и его сплавы (в перерасчете на алюминий),Марганець в сварочном аэрозоле: (до 20% и 20-30%),Аммиачная селитра,Доломит,Известняк,Известково-аммиачная селитра ,Кальция оксид,Кремния диоксид аморфный в виде аэрозоля конденсации при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аморфный в виде аэрозоля дезинтеграции (диатомит, кварцевое стекло, плавленый кварц, трепел);,Кремния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др.),Натрия хлорид,Магнезит,Мучная,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от 2 до 10 %),Силикатсодержащие пыли, силикаты, алюмосиликаты при содержанииасбеста от 10 до 20%
,Силикатсодержащие пыли, силикаты, алюмосиликаты асбесты природные (хризолит, актофиллит, эктинолит, тремолит, магнезиарфведсонит) и синтетическиеасбесты, а такжесмешанныеасбестопородныепыли при содержании в них асбестаболее 20%;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,Другие ископаемые угли и углеродные пыли с содержанием свободного диоксида кремния до 5%, от 5% до 10%,Сажи черные промышленные с содержанием бензапирена не более 35 мг на 1 кг</v>
      </c>
      <c r="I88" s="17" t="str">
        <f>IFERROR(__xludf.DUMMYFUNCTION("""COMPUTED_VALUE"""),"")</f>
        <v/>
      </c>
      <c r="J88" s="17" t="str">
        <f>IFERROR(__xludf.DUMMYFUNCTION("""COMPUTED_VALUE"""),"Важкість праці,Напруженість праці")</f>
        <v>Важкість праці,Напруженість праці</v>
      </c>
      <c r="K88" s="18">
        <f>IFERROR(__xludf.DUMMYFUNCTION("""COMPUTED_VALUE"""),43486.0)</f>
        <v>43486</v>
      </c>
      <c r="L88" s="18" t="str">
        <f>IFERROR(__xludf.DUMMYFUNCTION("""COMPUTED_VALUE"""),"")</f>
        <v/>
      </c>
    </row>
    <row r="89">
      <c r="A89" s="11">
        <f t="shared" si="1"/>
        <v>86</v>
      </c>
      <c r="B89" s="16" t="str">
        <f>IFERROR(__xludf.DUMMYFUNCTION("""COMPUTED_VALUE"""),"ТОВ ""Міжгалузевий центр охорони праці"" лабораторія гігієни праці")</f>
        <v>ТОВ "Міжгалузевий центр охорони праці" лабораторія гігієни праці</v>
      </c>
      <c r="C89" s="16" t="str">
        <f>IFERROR(__xludf.DUMMYFUNCTION("""COMPUTED_VALUE"""),"Одеська")</f>
        <v>Одеська</v>
      </c>
      <c r="D89" s="16" t="str">
        <f>IFERROR(__xludf.DUMMYFUNCTION("""COMPUTED_VALUE"""),"Одеса")</f>
        <v>Одеса</v>
      </c>
      <c r="E89" s="16" t="str">
        <f>IFERROR(__xludf.DUMMYFUNCTION("""COMPUTED_VALUE"""),"просп. Шевченка, 2/320")</f>
        <v>просп. Шевченка, 2/320</v>
      </c>
      <c r="F89" s="17" t="str">
        <f>IFERROR(__xludf.DUMMYFUNCTION("""COMPUTED_VALUE"""),"048-37-19-04        048-37-19-05")</f>
        <v>048-37-19-04        048-37-19-05</v>
      </c>
      <c r="G89" s="17" t="str">
        <f>IFERROR(__xludf.DUMMYFUNCTION("""COMPUTED_VALUE"""),"Шум,Мікроклімат,Освітлення")</f>
        <v>Шум,Мікроклімат,Освітлення</v>
      </c>
      <c r="H89" s="17" t="str">
        <f>IFERROR(__xludf.DUMMYFUNCTION("""COMPUTED_VALUE"""),"")</f>
        <v/>
      </c>
      <c r="I89" s="17" t="str">
        <f>IFERROR(__xludf.DUMMYFUNCTION("""COMPUTED_VALUE"""),"")</f>
        <v/>
      </c>
      <c r="J89" s="17" t="str">
        <f>IFERROR(__xludf.DUMMYFUNCTION("""COMPUTED_VALUE"""),"Важкість праці,Напруженість праці")</f>
        <v>Важкість праці,Напруженість праці</v>
      </c>
      <c r="K89" s="18">
        <f>IFERROR(__xludf.DUMMYFUNCTION("""COMPUTED_VALUE"""),43482.0)</f>
        <v>43482</v>
      </c>
      <c r="L89" s="18" t="str">
        <f>IFERROR(__xludf.DUMMYFUNCTION("""COMPUTED_VALUE"""),"")</f>
        <v/>
      </c>
    </row>
    <row r="90">
      <c r="A90" s="11">
        <f t="shared" si="1"/>
        <v>87</v>
      </c>
      <c r="B90" s="16" t="str">
        <f>IFERROR(__xludf.DUMMYFUNCTION("""COMPUTED_VALUE"""),"ПАТ ""Дніпровський меткомбінат"" санітарно-технічна лабораторія")</f>
        <v>ПАТ "Дніпровський меткомбінат" санітарно-технічна лабораторія</v>
      </c>
      <c r="C90" s="16" t="str">
        <f>IFERROR(__xludf.DUMMYFUNCTION("""COMPUTED_VALUE"""),"Дніпропетровська")</f>
        <v>Дніпропетровська</v>
      </c>
      <c r="D90" s="16" t="str">
        <f>IFERROR(__xludf.DUMMYFUNCTION("""COMPUTED_VALUE"""),"Кам'янське")</f>
        <v>Кам'янське</v>
      </c>
      <c r="E90" s="16" t="str">
        <f>IFERROR(__xludf.DUMMYFUNCTION("""COMPUTED_VALUE"""),"вул. Соборна, 18 Б")</f>
        <v>вул. Соборна, 18 Б</v>
      </c>
      <c r="F90" s="17" t="str">
        <f>IFERROR(__xludf.DUMMYFUNCTION("""COMPUTED_VALUE"""),"05692-66-63-20")</f>
        <v>05692-66-63-20</v>
      </c>
      <c r="G90" s="17" t="str">
        <f>IFERROR(__xludf.DUMMYFUNCTION("""COMPUTED_VALUE"""),"Вібрація загальна та локальна,Шум,Мікроклімат,Освітлення,Атмосферний тиск")</f>
        <v>Вібрація загальна та локальна,Шум,Мікроклімат,Освітлення,Атмосферний тиск</v>
      </c>
      <c r="H90" s="17" t="str">
        <f>IFERROR(__xludf.DUMMYFUNCTION("""COMPUTED_VALUE"""),"Азота диоксид,Аммиак,Ангидрид сернистый,Водорода хлорид,Водорода цианид,Электрокорунд, электрокорунд хромистый,Кислота серная,Сероводород,Углеводороды алифатические предельные,Углерода оксид,Марганець в сварочном аэрозоле: (до 20% и 20-30%),Дистенсиллиман"&amp;"ит,Доломит,Железный агломерат,Железорудные окатыши,Известняк,Корунд белый,Кальция оксид,Кремния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"&amp;"в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др.),Пыль доменного шлака,Магнезит,Чугун в смесе с електроко"&amp;"рундом до 20%,Шамотнографитовые огнеупоры,Зерновая,Мучная,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хлопчато-бумажная"&amp;",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10 %,А"&amp;"сбестоцемент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волокна"&amp;"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сланцевый,Антрацит с содержанием свободного диоксида кремния д"&amp;"о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металлизированый,Углеродные волокнистые материалы на основе гидрат целлюлозных волокон,Углеродные волокнист"&amp;"ые материалы на основе гидрат полиакрилонитрильных волокон")</f>
        <v>Азота диоксид,Аммиак,Ангидрид сернистый,Водорода хлорид,Водорода цианид,Электрокорунд, электрокорунд хромистый,Кислота серная,Сероводород,Углеводороды алифатические предельные,Углерода оксид,Марганець в сварочном аэрозоле: (до 20% и 20-30%),Дистенсиллиманит,Доломит,Железный агломерат,Железорудные окатыши,Известняк,Корунд белый,Кальция оксид,Кремния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др.),Пыль доменного шлака,Магнезит,Чугун в смесе с електрокорундом до 20%,Шамотнографитовые огнеупоры,Зерновая,Мучная,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v>
      </c>
      <c r="I90" s="17" t="str">
        <f>IFERROR(__xludf.DUMMYFUNCTION("""COMPUTED_VALUE"""),"")</f>
        <v/>
      </c>
      <c r="J90" s="17" t="str">
        <f>IFERROR(__xludf.DUMMYFUNCTION("""COMPUTED_VALUE"""),"Важкість праці,Напруженість праці")</f>
        <v>Важкість праці,Напруженість праці</v>
      </c>
      <c r="K90" s="18">
        <f>IFERROR(__xludf.DUMMYFUNCTION("""COMPUTED_VALUE"""),43487.0)</f>
        <v>43487</v>
      </c>
      <c r="L90" s="18" t="str">
        <f>IFERROR(__xludf.DUMMYFUNCTION("""COMPUTED_VALUE"""),"")</f>
        <v/>
      </c>
    </row>
    <row r="91">
      <c r="A91" s="11">
        <f t="shared" si="1"/>
        <v>88</v>
      </c>
      <c r="B91" s="16" t="str">
        <f>IFERROR(__xludf.DUMMYFUNCTION("""COMPUTED_VALUE"""),"ПРАТ ""РОСАВА"" вимірювальна санітарно-промислова лабораторія")</f>
        <v>ПРАТ "РОСАВА" вимірювальна санітарно-промислова лабораторія</v>
      </c>
      <c r="C91" s="16" t="str">
        <f>IFERROR(__xludf.DUMMYFUNCTION("""COMPUTED_VALUE"""),"Київська")</f>
        <v>Київська</v>
      </c>
      <c r="D91" s="16" t="str">
        <f>IFERROR(__xludf.DUMMYFUNCTION("""COMPUTED_VALUE"""),"Біла Церква")</f>
        <v>Біла Церква</v>
      </c>
      <c r="E91" s="16" t="str">
        <f>IFERROR(__xludf.DUMMYFUNCTION("""COMPUTED_VALUE"""),"вул. Леваневського, 91")</f>
        <v>вул. Леваневського, 91</v>
      </c>
      <c r="F91" s="17" t="str">
        <f>IFERROR(__xludf.DUMMYFUNCTION("""COMPUTED_VALUE"""),"045-633-73-64")</f>
        <v>045-633-73-64</v>
      </c>
      <c r="G91" s="17" t="str">
        <f>IFERROR(__xludf.DUMMYFUNCTION("""COMPUTED_VALUE"""),"Вібрація загальна та локальна,Шум,Мікроклімат,Освітлення,Атмосферний тиск")</f>
        <v>Вібрація загальна та локальна,Шум,Мікроклімат,Освітлення,Атмосферний тиск</v>
      </c>
      <c r="H91" s="17" t="str">
        <f>IFERROR(__xludf.DUMMYFUNCTION("""COMPUTED_VALUE"""),"Азота диоксид,Альфа-метилстирол,Ангидрид сернистый,Ангидрид фталевый,Бензин,Бензотиазолил-2 морфолиносульфид (сульфенамид М),Вулканизационные газы шинного производства (резины на основе СКИ-3, СКД, СКС-30, АРКМ-15) по суммарному содержанию аминосоединений"&amp;" в воздухе,Гексан,2-2-Дибензтиазол дисульфид (альтакс),Керосин,Кислота серная,2-Меркаптобензтиазол (каптакс),Нефрас С 150/200 (в пересчете на С),Озон,Сера элементарная,Свинец и его неорганические соединения (по свинцу),Сольвент-нафта,Синтетические моющие "&amp;"средства „Лотос”,”Ера”,”Ока” ,Скипидар,Уайт-спирит (в пересчете на С),Углеводороды алифатические предельные,Углерода оксид,Формальдегид,Цинка оксид,Щелочи едкие (растворы в перерасчете на NaOH),Марганець в сварочном аэрозоле: (до 20% и 20-30%),Корунд белы"&amp;"й,Кремния диоксид кристаллический при содержании в пыле от 10 до 70 % (гранит, шамот, слюда-сирец, углепородная пыль и др.),2,2,4-Триметил-1,2-дигидрохинолин (ацетонанил),Зерновая,Мучная, древесная и др. (с примесью диоксида кремния меньше 2 %),Лубяная, х"&amp;"лопчато-бумажная,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10 %),Асбестобакелит, асбесторезина,Слюды,"&amp;"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каолиновый,Антрацит с содержанием свободного "&amp;"диоксида кремния до 5 %,Сажи черные промышленные с содержанием бензапирена не более 35 мг на 1 кг")</f>
        <v>Азота диоксид,Альфа-метилстирол,Ангидрид сернистый,Ангидрид фталевый,Бензин,Бензотиазолил-2 морфолиносульфид (сульфенамид М),Вулканизационные газы шинного производства (резины на основе СКИ-3, СКД, СКС-30, АРКМ-15) по суммарному содержанию аминосоединений в воздухе,Гексан,2-2-Дибензтиазол дисульфид (альтакс),Керосин,Кислота серная,2-Меркаптобензтиазол (каптакс),Нефрас С 150/200 (в пересчете на С),Озон,Сера элементарная,Свинец и его неорганические соединения (по свинцу),Сольвент-нафта,Синтетические моющие средства „Лотос”,”Ера”,”Ока” ,Скипидар,Уайт-спирит (в пересчете на С),Углеводороды алифатические предельные,Углерода оксид,Формальдегид,Цинка оксид,Щелочи едкие (растворы в перерасчете на NaOH),Марганець в сварочном аэрозоле: (до 20% и 20-30%),Корунд белый,Кремния диоксид кристаллический при содержании в пыле от 10 до 70 % (гранит, шамот, слюда-сирец, углепородная пыль и др.),2,2,4-Триметил-1,2-дигидрохинолин (ацетонанил),Зерновая,Мучная,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10 %),Асбестобакелит, асбесторезина,Слюды,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каолиновый,Антрацит с содержанием свободного диоксида кремния до 5 %,Сажи черные промышленные с содержанием бензапирена не более 35 мг на 1 кг</v>
      </c>
      <c r="I91" s="17" t="str">
        <f>IFERROR(__xludf.DUMMYFUNCTION("""COMPUTED_VALUE"""),"")</f>
        <v/>
      </c>
      <c r="J91" s="17" t="str">
        <f>IFERROR(__xludf.DUMMYFUNCTION("""COMPUTED_VALUE"""),"Важкість праці,Напруженість праці")</f>
        <v>Важкість праці,Напруженість праці</v>
      </c>
      <c r="K91" s="18">
        <f>IFERROR(__xludf.DUMMYFUNCTION("""COMPUTED_VALUE"""),43490.0)</f>
        <v>43490</v>
      </c>
      <c r="L91" s="18" t="str">
        <f>IFERROR(__xludf.DUMMYFUNCTION("""COMPUTED_VALUE"""),"")</f>
        <v/>
      </c>
    </row>
    <row r="92">
      <c r="A92" s="11">
        <f t="shared" si="1"/>
        <v>89</v>
      </c>
      <c r="B92" s="16" t="str">
        <f>IFERROR(__xludf.DUMMYFUNCTION("""COMPUTED_VALUE"""),"Шосткинський міськрайонний відділ ДУ ""Сумський обласний лабораторний центр МОЗ України""")</f>
        <v>Шосткинський міськрайонний відділ ДУ "Сумський обласний лабораторний центр МОЗ України"</v>
      </c>
      <c r="C92" s="16" t="str">
        <f>IFERROR(__xludf.DUMMYFUNCTION("""COMPUTED_VALUE"""),"Сумська")</f>
        <v>Сумська</v>
      </c>
      <c r="D92" s="16" t="str">
        <f>IFERROR(__xludf.DUMMYFUNCTION("""COMPUTED_VALUE"""),"Шостка")</f>
        <v>Шостка</v>
      </c>
      <c r="E92" s="16" t="str">
        <f>IFERROR(__xludf.DUMMYFUNCTION("""COMPUTED_VALUE"""),"вул. Свободи , 61 А")</f>
        <v>вул. Свободи , 61 А</v>
      </c>
      <c r="F92" s="17" t="str">
        <f>IFERROR(__xludf.DUMMYFUNCTION("""COMPUTED_VALUE"""),"05449-6-24-77")</f>
        <v>05449-6-24-77</v>
      </c>
      <c r="G92" s="17" t="str">
        <f>IFERROR(__xludf.DUMMYFUNCTION("""COMPUTED_VALUE"""),"Вібрація загальна та локальна,Шум,Мікроклімат,Освітлення")</f>
        <v>Вібрація загальна та локальна,Шум,Мікроклімат,Освітлення</v>
      </c>
      <c r="H92" s="17" t="str">
        <f>IFERROR(__xludf.DUMMYFUNCTION("""COMPUTED_VALUE"""),"Азота диоксид,Аммиак,Ангидрид сернистый,Ангидрид хромовый,Ацетон,Бензин,Бензол,Бутилацетат,Водорода хлорид,Этилацетат ,Кислота уксусная,Керосин,Кислота серная,Ксилол (мета-,орто-, пара-),Медь,Марганца оксиды (в пересчете на MnO2) аэрозоль дезинтеграции,Ма"&amp;"рганца оксиды (в пересчете на MnO2) аэрозоль конденсации,Масла минеральные нефтяные,Озон,Ртуть,Сероводород,Свинец и его неорганические соединения (по свинцу),Спирт метиловий,Стирол,Тетраэтилсвинец,Толуол,Уайт-спирит (в пересчете на С),Углерода оксид,Фенол"&amp;",Формальдегид,Хлор,Хрома оксид (по Cr+3),Цинка оксид,Щелочи едкие (растворы в перерасчете на NaOH),Марганець в сварочном аэрозоле: (до 20% и 20-30%),Зерновая,Мучная, древесная и др. (с примесью диоксида кремния меньше 2 %),Лубяная, хлопчато-бумажная, хлоп"&amp;"ковая,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асбестопородны"&amp;"е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,Слюды,"&amp;"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искусственные"&amp;")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"&amp;"металлизированый,Сажи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f>
        <v>Азота диоксид,Аммиак,Ангидрид сернистый,Ангидрид хромовый,Ацетон,Бензин,Бензол,Бутилацетат,Водорода хлорид,Этилацетат ,Кислота уксусная,Керосин,Кислота серная,Ксилол (мета-,орто-, пара-),Медь,Марганца оксиды (в пересчете на MnO2) аэрозоль дезинтеграции,Марганца оксиды (в пересчете на MnO2) аэрозоль конденсации,Масла минеральные нефтяные,Озон,Ртуть,Сероводород,Свинец и его неорганические соединения (по свинцу),Спирт метиловий,Стирол,Тетраэтилсвинец,Толуол,Уайт-спирит (в пересчете на С),Углерода оксид,Фенол,Формальдегид,Хлор,Хрома оксид (по Cr+3),Цинка оксид,Щелочи едкие (растворы в перерасчете на NaOH),Марганець в сварочном аэрозоле: (до 20% и 20-30%),Зерновая,Мучная,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v>
      </c>
      <c r="I92" s="17" t="str">
        <f>IFERROR(__xludf.DUMMYFUNCTION("""COMPUTED_VALUE"""),"")</f>
        <v/>
      </c>
      <c r="J92" s="17" t="str">
        <f>IFERROR(__xludf.DUMMYFUNCTION("""COMPUTED_VALUE"""),"Важкість праці,Напруженість праці")</f>
        <v>Важкість праці,Напруженість праці</v>
      </c>
      <c r="K92" s="18">
        <f>IFERROR(__xludf.DUMMYFUNCTION("""COMPUTED_VALUE"""),43487.0)</f>
        <v>43487</v>
      </c>
      <c r="L92" s="18" t="str">
        <f>IFERROR(__xludf.DUMMYFUNCTION("""COMPUTED_VALUE"""),"")</f>
        <v/>
      </c>
    </row>
    <row r="93">
      <c r="A93" s="11">
        <f t="shared" si="1"/>
        <v>90</v>
      </c>
      <c r="B93" s="16" t="str">
        <f>IFERROR(__xludf.DUMMYFUNCTION("""COMPUTED_VALUE"""),"ТОВ ""Лозівський ковальсько-механічний завод""  промислово-санітарна лабораторія")</f>
        <v>ТОВ "Лозівський ковальсько-механічний завод"  промислово-санітарна лабораторія</v>
      </c>
      <c r="C93" s="16" t="str">
        <f>IFERROR(__xludf.DUMMYFUNCTION("""COMPUTED_VALUE"""),"Харківська")</f>
        <v>Харківська</v>
      </c>
      <c r="D93" s="16" t="str">
        <f>IFERROR(__xludf.DUMMYFUNCTION("""COMPUTED_VALUE"""),"Лозова")</f>
        <v>Лозова</v>
      </c>
      <c r="E93" s="16" t="str">
        <f>IFERROR(__xludf.DUMMYFUNCTION("""COMPUTED_VALUE"""),"вул. Свободи, 24")</f>
        <v>вул. Свободи, 24</v>
      </c>
      <c r="F93" s="17" t="str">
        <f>IFERROR(__xludf.DUMMYFUNCTION("""COMPUTED_VALUE"""),"05745-7-56-93      05745-2-69-16")</f>
        <v>05745-7-56-93      05745-2-69-16</v>
      </c>
      <c r="G93" s="17" t="str">
        <f>IFERROR(__xludf.DUMMYFUNCTION("""COMPUTED_VALUE"""),"Вібрація загальна та локальна,Шум,Мікроклімат,Освітлення")</f>
        <v>Вібрація загальна та локальна,Шум,Мікроклімат,Освітлення</v>
      </c>
      <c r="H93" s="17" t="str">
        <f>IFERROR(__xludf.DUMMYFUNCTION("""COMPUTED_VALUE"""),"")</f>
        <v/>
      </c>
      <c r="I93" s="17" t="str">
        <f>IFERROR(__xludf.DUMMYFUNCTION("""COMPUTED_VALUE"""),"")</f>
        <v/>
      </c>
      <c r="J93" s="17" t="str">
        <f>IFERROR(__xludf.DUMMYFUNCTION("""COMPUTED_VALUE"""),"Важкість праці,Напруженість праці")</f>
        <v>Важкість праці,Напруженість праці</v>
      </c>
      <c r="K93" s="18">
        <f>IFERROR(__xludf.DUMMYFUNCTION("""COMPUTED_VALUE"""),43487.0)</f>
        <v>43487</v>
      </c>
      <c r="L93" s="18" t="str">
        <f>IFERROR(__xludf.DUMMYFUNCTION("""COMPUTED_VALUE"""),"")</f>
        <v/>
      </c>
    </row>
    <row r="94">
      <c r="A94" s="11">
        <f t="shared" si="1"/>
        <v>91</v>
      </c>
      <c r="B94" s="16" t="str">
        <f>IFERROR(__xludf.DUMMYFUNCTION("""COMPUTED_VALUE"""),"Донецький ВП ДУ ""Лабораторний центр на залізничному транспорті МОЗ України""")</f>
        <v>Донецький ВП ДУ "Лабораторний центр на залізничному транспорті МОЗ України"</v>
      </c>
      <c r="C94" s="16" t="str">
        <f>IFERROR(__xludf.DUMMYFUNCTION("""COMPUTED_VALUE"""),"Донецька")</f>
        <v>Донецька</v>
      </c>
      <c r="D94" s="16" t="str">
        <f>IFERROR(__xludf.DUMMYFUNCTION("""COMPUTED_VALUE"""),"Лиман")</f>
        <v>Лиман</v>
      </c>
      <c r="E94" s="16" t="str">
        <f>IFERROR(__xludf.DUMMYFUNCTION("""COMPUTED_VALUE"""),"вул. Привокзальна, 13")</f>
        <v>вул. Привокзальна, 13</v>
      </c>
      <c r="F94" s="17" t="str">
        <f>IFERROR(__xludf.DUMMYFUNCTION("""COMPUTED_VALUE"""),"06261-2-71-48")</f>
        <v>06261-2-71-48</v>
      </c>
      <c r="G94" s="17" t="str">
        <f>IFERROR(__xludf.DUMMYFUNCTION("""COMPUTED_VALUE"""),"Вібрація загальна та локальна,Шум,Іонізуюче випромінювання,Мікроклімат,Освітлення,Атмосферний тиск")</f>
        <v>Вібрація загальна та локальна,Шум,Іонізуюче випромінювання,Мікроклімат,Освітлення,Атмосферний тиск</v>
      </c>
      <c r="H94" s="17" t="str">
        <f>IFERROR(__xludf.DUMMYFUNCTION("""COMPUTED_VALUE"""),"Аммиак,Ангидрид сернистый,Ангидрид хромовый,Водорода хлорид,Кислота серная,Медь,Масла минеральные нефтяные,Сероводород,Свинец и его неорганические соединения (по свинцу),Хлор,Марганець в сварочном аэрозоле: (до 20% и 20-30%),Зерновая,Мучная, древесная и д"&amp;"р.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крем"&amp;"ния от 2 до 10 %),Искусственные минеральные волокна силикатные и алюмосиликатные стеклообразной структуры,Цемент, оливин, апатит, форстерит, глина, шамот каолиновый,Коксы каменноугольный, пековый, нефтяной, сланцевый,Другие ископаемые угли и углеродные пы"&amp;"ли с содержанием свободного диоксида кремния до 5%, от 5% до 10%,Сажи черные промышленные с содержанием бензапирена не более 35 мг на 1 кг")</f>
        <v>Аммиак,Ангидрид сернистый,Ангидрид хромовый,Водорода хлорид,Кислота серная,Медь,Масла минеральные нефтяные,Сероводород,Свинец и его неорганические соединения (по свинцу),Хлор,Марганець в сварочном аэрозоле: (до 20% и 20-30%),Зерновая,Мучная,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10 %),Искусственные минеральные волокна силикатные и алюмосиликатные стеклообразной структуры,Цемент, оливин, апатит, форстерит, глина, шамот каолиновый,Коксы каменноугольный, пековый, нефтяной, сланцевый,Другие ископаемые угли и углеродные пыли с содержанием свободного диоксида кремния до 5%, от 5% до 10%,Сажи черные промышленные с содержанием бензапирена не более 35 мг на 1 кг</v>
      </c>
      <c r="I94" s="17" t="str">
        <f>IFERROR(__xludf.DUMMYFUNCTION("""COMPUTED_VALUE"""),"")</f>
        <v/>
      </c>
      <c r="J94" s="17" t="str">
        <f>IFERROR(__xludf.DUMMYFUNCTION("""COMPUTED_VALUE"""),"Важкість праці,Напруженість праці")</f>
        <v>Важкість праці,Напруженість праці</v>
      </c>
      <c r="K94" s="18">
        <f>IFERROR(__xludf.DUMMYFUNCTION("""COMPUTED_VALUE"""),43493.0)</f>
        <v>43493</v>
      </c>
      <c r="L94" s="18" t="str">
        <f>IFERROR(__xludf.DUMMYFUNCTION("""COMPUTED_VALUE"""),"")</f>
        <v/>
      </c>
    </row>
    <row r="95">
      <c r="A95" s="11">
        <f t="shared" si="1"/>
        <v>92</v>
      </c>
      <c r="B95" s="16" t="str">
        <f>IFERROR(__xludf.DUMMYFUNCTION("""COMPUTED_VALUE"""),"ТОВ ""РІАЛ ПЛЮС""")</f>
        <v>ТОВ "РІАЛ ПЛЮС"</v>
      </c>
      <c r="C95" s="16" t="str">
        <f>IFERROR(__xludf.DUMMYFUNCTION("""COMPUTED_VALUE"""),"Львівська")</f>
        <v>Львівська</v>
      </c>
      <c r="D95" s="16" t="str">
        <f>IFERROR(__xludf.DUMMYFUNCTION("""COMPUTED_VALUE"""),"Львів")</f>
        <v>Львів</v>
      </c>
      <c r="E95" s="16" t="str">
        <f>IFERROR(__xludf.DUMMYFUNCTION("""COMPUTED_VALUE"""),"вул. Таджицька, 7")</f>
        <v>вул. Таджицька, 7</v>
      </c>
      <c r="F95" s="17" t="str">
        <f>IFERROR(__xludf.DUMMYFUNCTION("""COMPUTED_VALUE"""),"032-251-47-50       032-251-47-61        097-771-19-98")</f>
        <v>032-251-47-50       032-251-47-61        097-771-19-98</v>
      </c>
      <c r="G95" s="17" t="str">
        <f>IFERROR(__xludf.DUMMYFUNCTION("""COMPUTED_VALUE"""),"Вібрація загальна та локальна,Шум,Неіонізуюче випромінювання,Мікроклімат,Освітлення,Атмосферний тиск")</f>
        <v>Вібрація загальна та локальна,Шум,Неіонізуюче випромінювання,Мікроклімат,Освітлення,Атмосферний тиск</v>
      </c>
      <c r="H95" s="17" t="str">
        <f>IFERROR(__xludf.DUMMYFUNCTION("""COMPUTED_VALUE"""),"Азота диоксид,Азота оксид (IV) в перерарасчете на (NO2),Акрилонитрил,Акролеин,Алюминий и його сплавы,Алюминия  оксид в смеси со сплавом никеля до 15% (электрокорунд),Аммиак,Ангидрид сернистый,Ангидрид фосфорный,Ангидрид хромовый,Ацетон,Ацетальдегид,Бензал"&amp;"ьдегид,Бензол,Бутилацетат,Ванадий и его соединения,Винилацетат,Винила хлорид,Водорода хлорид,Водород фтористий (в пересчете на F),Диметилтерефталат,Диметиламин,Электрокорунд, электрокорунд хромистый,Эпихлоргидрин,Этиленгликоль,Этилацетат ,Этилена оксид,Ки"&amp;"слота борная,Кислота метакриловая,Кислота акриловая,Кислота уксусная,Керамика,Кислота серная,Ксилол (мета-,орто-, пара-),Медь,Марганца оксиды (в пересчете на MnO2) аэрозоль дезинтеграции,Марганца оксиды (в пересчете на MnO2) аэрозоль конденсации,Масла мин"&amp;"еральные нефтяные,Метиловый эфир акриловой кислоты (метилакрилат),Натрия сульфид,Натрия хлорид,Никель,Никеля соли в виде гидроаэрозоля (по Ni),Озон,Ртуть,Сера элементарная,Сероводород,Сероуглерод,Свинец и его неорганические соединения (по свинцу),Сода кал"&amp;"ьцинированная,Скипидар,Спирт этиловий,Спирт метиловий,Спирт пропиловый,Спирт изобутиловый,Стирол,Триэтиламин,Толуол,Толуилендиизоцианат,Углерода оксид,Углерод четыреххлористый,Формальдегид,Хлор,Хрома оксид (по Cr+3),Цинка оксид,Щелочи едкие (растворы в пе"&amp;"рерасчете на NaOH),Алюминий и его сплавы (в перерасчете на алюминий),Алюминия оксид в виде аэрозоля дезинтеграции (глинозем, электрокорунд, монокорунд),Алюминия оксид с примесью диоксида кремния ( в виде аерозоля конденсации),Марганець в сварочном аэрозол"&amp;"е: (до 20% и 20-30%),Метилэтилкетон,Известняк,Кремния диоксид аморфный в виде аэрозоля конденсации при содержании: больше 60 %,Кремния диоксид аморфный в виде аэрозоля конденсации при содержании 60-10 %,Кремния диоксид аморфный в виде аэрозоля конденсации"&amp;" при содержании меньше 10 %,Кремния диоксид аморфный в виде аэрозоля дезинтеграции (диатомит, кварцевое стекло, плавленый кварц, трепел);,Кремния диоксид кристаллический (кварц, кристобелит, тридимит) при содержании в пыли больше 70% (кварцит, динас и др."&amp;");,Кремния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др.),Кремн"&amp;"ия карбид (карборунд).,Полимеры и сополимеры на основе акриловых и метакриловых мономеров,Поликарбонат,Полиэтилен,Чугун в смесе с електрокорундом до 20%,Зерновая,Мучная, древесная и др. (с примесью диоксида кремния меньше 2 %),Лубяная, хлопчато-бумажная, "&amp;"хлопковая,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асбестопор"&amp;"одные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,Сл"&amp;"юды,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искусстве"&amp;"нные)
,Табак,Коксы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искусствен"&amp;"ные,Алмаз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f>
        <v>Азота диоксид,Азота оксид (IV) в перерарасчете на (NO2),Акрилонитрил,Акролеин,Алюминий и його сплавы,Алюминия  оксид в смеси со сплавом никеля до 15% (электрокорунд),Аммиак,Ангидрид сернистый,Ангидрид фосфорный,Ангидрид хромовый,Ацетон,Ацетальдегид,Бензальдегид,Бензол,Бутилацетат,Ванадий и его соединения,Винилацетат,Винила хлорид,Водорода хлорид,Водород фтористий (в пересчете на F),Диметилтерефталат,Диметиламин,Электрокорунд, электрокорунд хромистый,Эпихлоргидрин,Этиленгликоль,Этилацетат ,Этилена оксид,Кислота борная,Кислота метакриловая,Кислота акриловая,Кислота уксусная,Керамика,Кислота серная,Ксилол (мета-,орто-, пара-),Медь,Марганца оксиды (в пересчете на MnO2) аэрозоль дезинтеграции,Марганца оксиды (в пересчете на MnO2) аэрозоль конденсации,Масла минеральные нефтяные,Метиловый эфир акриловой кислоты (метилакрилат),Натрия сульфид,Натрия хлорид,Никель,Никеля соли в виде гидроаэрозоля (по Ni),Озон,Ртуть,Сера элементарная,Сероводород,Сероуглерод,Свинец и его неорганические соединения (по свинцу),Сода кальцинированная,Скипидар,Спирт этиловий,Спирт метиловий,Спирт пропиловый,Спирт изобутиловый,Стирол,Триэтиламин,Толуол,Толуилендиизоцианат,Углерода оксид,Углерод четыреххлористый,Формальдегид,Хлор,Хрома оксид (по Cr+3),Цинка оксид,Щелочи едкие (растворы в перерасчете на NaOH),Алюминий и его сплавы (в перерасчете на алюминий),Алюминия оксид в виде аэрозоля дезинтеграции (глинозем, электрокорунд, монокорунд),Алюминия оксид с примесью диоксида кремния ( в виде аерозоля конденсации),Марганець в сварочном аэрозоле: (до 20% и 20-30%),Метилэтилкетон,Известняк,Кремния диоксид аморфный в виде аэрозоля конденсации при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аморфный в виде аэрозоля дезинтеграции (диатомит, кварцевое стекло, плавленый кварц, трепел);,Кремния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др.),Кремния карбид (карборунд).,Полимеры и сополимеры на основе акриловых и метакриловых мономеров,Поликарбонат,Полиэтилен,Чугун в смесе с електрокорундом до 20%,Зерновая,Мучная,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,Табак,Коксы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v>
      </c>
      <c r="I95" s="17" t="str">
        <f>IFERROR(__xludf.DUMMYFUNCTION("""COMPUTED_VALUE"""),"")</f>
        <v/>
      </c>
      <c r="J95" s="17" t="str">
        <f>IFERROR(__xludf.DUMMYFUNCTION("""COMPUTED_VALUE"""),"Важкість праці,Напруженість праці")</f>
        <v>Важкість праці,Напруженість праці</v>
      </c>
      <c r="K95" s="18">
        <f>IFERROR(__xludf.DUMMYFUNCTION("""COMPUTED_VALUE"""),43493.0)</f>
        <v>43493</v>
      </c>
      <c r="L95" s="18" t="str">
        <f>IFERROR(__xludf.DUMMYFUNCTION("""COMPUTED_VALUE"""),"")</f>
        <v/>
      </c>
    </row>
    <row r="96">
      <c r="A96" s="11">
        <f t="shared" si="1"/>
        <v>93</v>
      </c>
      <c r="B96" s="16" t="str">
        <f>IFERROR(__xludf.DUMMYFUNCTION("""COMPUTED_VALUE"""),"Конотопський міськрайонний відділ ДУ ""Сумський обласний лабораторний центр МОЗ України""")</f>
        <v>Конотопський міськрайонний відділ ДУ "Сумський обласний лабораторний центр МОЗ України"</v>
      </c>
      <c r="C96" s="16" t="str">
        <f>IFERROR(__xludf.DUMMYFUNCTION("""COMPUTED_VALUE"""),"Сумська")</f>
        <v>Сумська</v>
      </c>
      <c r="D96" s="16" t="str">
        <f>IFERROR(__xludf.DUMMYFUNCTION("""COMPUTED_VALUE"""),"Конотоп")</f>
        <v>Конотоп</v>
      </c>
      <c r="E96" s="16" t="str">
        <f>IFERROR(__xludf.DUMMYFUNCTION("""COMPUTED_VALUE"""),"вул. Садова, 6")</f>
        <v>вул. Садова, 6</v>
      </c>
      <c r="F96" s="17" t="str">
        <f>IFERROR(__xludf.DUMMYFUNCTION("""COMPUTED_VALUE"""),"05447-2-31-32")</f>
        <v>05447-2-31-32</v>
      </c>
      <c r="G96" s="17" t="str">
        <f>IFERROR(__xludf.DUMMYFUNCTION("""COMPUTED_VALUE"""),"Вібрація загальна та локальна,Шум,Мікроклімат,Освітлення")</f>
        <v>Вібрація загальна та локальна,Шум,Мікроклімат,Освітлення</v>
      </c>
      <c r="H96" s="17" t="str">
        <f>IFERROR(__xludf.DUMMYFUNCTION("""COMPUTED_VALUE"""),"Азота диоксид,Азота оксид (IV) в перерарасчете на (NO2),Аммиак,Ангидрид сернистый,Ангидрид хромовый,Ацетон,Бутилацетат,Водорода хлорид,Этилацетат ,Кислота уксусная,Кислота серная,Ксилол (мета-,орто-, пара-),Масла минеральные нефтяные,Озон,Сероводород,Толу"&amp;"ол,Углерода оксид,Фенол,Формальдегид,Хлор,Хрома оксид (по Cr+3),Щелочи едкие (растворы в перерасчете на NaOH),Марганець в сварочном аэрозоле: (до 20% и 20-30%),Зерновая,Мучная, древесная и др. (с примесью диоксида кремния меньше 2 %),Лубяная, хлопчато-бум"&amp;"ажная,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10 %),Силикаты стеклообразные вулканического происхож"&amp;"дения (туфы, пемза, перлит) ,Цемент, оливин, апатит, форстерит, глина, шамот каолиновый,Цеолиты (природные и искусственные)
")</f>
        <v>Азота диоксид,Азота оксид (IV) в перерарасчете на (NO2),Аммиак,Ангидрид сернистый,Ангидрид хромовый,Ацетон,Бутилацетат,Водорода хлорид,Этилацетат ,Кислота уксусная,Кислота серная,Ксилол (мета-,орто-, пара-),Масла минеральные нефтяные,Озон,Сероводород,Толуол,Углерода оксид,Фенол,Формальдегид,Хлор,Хрома оксид (по Cr+3),Щелочи едкие (растворы в перерасчете на NaOH),Марганець в сварочном аэрозоле: (до 20% и 20-30%),Зерновая,Мучная,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10 %),Силикаты стеклообразные вулканического происхождения (туфы, пемза, перлит) ,Цемент, оливин, апатит, форстерит, глина, шамот каолиновый,Цеолиты (природные и искусственные)
</v>
      </c>
      <c r="I96" s="17" t="str">
        <f>IFERROR(__xludf.DUMMYFUNCTION("""COMPUTED_VALUE"""),"")</f>
        <v/>
      </c>
      <c r="J96" s="17" t="str">
        <f>IFERROR(__xludf.DUMMYFUNCTION("""COMPUTED_VALUE"""),"Важкість праці,Напруженість праці")</f>
        <v>Важкість праці,Напруженість праці</v>
      </c>
      <c r="K96" s="18">
        <f>IFERROR(__xludf.DUMMYFUNCTION("""COMPUTED_VALUE"""),43493.0)</f>
        <v>43493</v>
      </c>
      <c r="L96" s="18" t="str">
        <f>IFERROR(__xludf.DUMMYFUNCTION("""COMPUTED_VALUE"""),"")</f>
        <v/>
      </c>
    </row>
    <row r="97">
      <c r="A97" s="11">
        <f t="shared" si="1"/>
        <v>94</v>
      </c>
      <c r="B97" s="16" t="str">
        <f>IFERROR(__xludf.DUMMYFUNCTION("""COMPUTED_VALUE"""),"ПАТ ""Запоріжсталь"" ")</f>
        <v>ПАТ "Запоріжсталь" </v>
      </c>
      <c r="C97" s="16" t="str">
        <f>IFERROR(__xludf.DUMMYFUNCTION("""COMPUTED_VALUE"""),"Запорізька")</f>
        <v>Запорізька</v>
      </c>
      <c r="D97" s="16" t="str">
        <f>IFERROR(__xludf.DUMMYFUNCTION("""COMPUTED_VALUE"""),"Запоріжжя")</f>
        <v>Запоріжжя</v>
      </c>
      <c r="E97" s="16" t="str">
        <f>IFERROR(__xludf.DUMMYFUNCTION("""COMPUTED_VALUE"""),"вул. Південне шосе, 72")</f>
        <v>вул. Південне шосе, 72</v>
      </c>
      <c r="F97" s="17" t="str">
        <f>IFERROR(__xludf.DUMMYFUNCTION("""COMPUTED_VALUE"""),"061-218-31-01")</f>
        <v>061-218-31-01</v>
      </c>
      <c r="G97" s="17" t="str">
        <f>IFERROR(__xludf.DUMMYFUNCTION("""COMPUTED_VALUE"""),"Вібрація загальна та локальна,Шум,Неіонізуюче випромінювання,Мікроклімат,Освітлення")</f>
        <v>Вібрація загальна та локальна,Шум,Неіонізуюче випромінювання,Мікроклімат,Освітлення</v>
      </c>
      <c r="H97" s="17" t="str">
        <f>IFERROR(__xludf.DUMMYFUNCTION("""COMPUTED_VALUE"""),"Азота диоксид,Азота оксид (IV) в перерарасчете на (NO2),Аммиак,Ангидрид сернистый,Ангидрид хромовый,Антрацен,Аценафтен,Бензол,Водорода хлорид,Водорода цианид,Электрокорунд, электрокорунд хромистый,Кислота серная,Ксилол (мета-,орто-, пара-),Медь,Марганца о"&amp;"ксиды (в пересчете на MnO2) аэрозоль дезинтеграции,Марганца оксиды (в пересчете на MnO2) аэрозоль конденсации,Масла минеральные нефтяные,Моноэтаноламин,1-Метилнафталин, 2-Метилнафталин,Мышьяка неорганические соединения (по мышьяку),Натрия тиосульфат,Нафта"&amp;"лин,Никель, никеля оксиды, сульфиды и смеси соединений никеля (файнштейн, никелевый концентрат и агломерат, оборотная пыль очистных устройств (по Ni)
,Озон,Пиридин,Ртуть,Сероводород,Сероуглерод,Свинец и его неорганические соединения (по свинцу),Сода кальц"&amp;"инированная,Титан и его диоксид,Триэтаноламин ,Толуол,Углеводороды алифатические предельные,Углерода оксид,Фенол,Формальдегид,Хлор,Хлора диоксид,Хрома оксид (по Cr+3),Цинка оксид,Щелочи едкие (растворы в перерасчете на NaOH),Алюминия оксид с примесью диок"&amp;"сида кремния ( в виде аерозоля конденсации),Марганець в сварочном аэрозоле: (до 20% и 20-30%),Аммония сульфат ,Бокситы,Доломит,Железный агломерат,Железорудные окатыши,Известняк,Кремния диоксид аморфный в виде аэрозоля конденсации при содержании меньше 10 "&amp;"%,Кремния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др.),Пыль д"&amp;"оменного шлака,Магнезит,Шамотнографитовые огнеупоры,Зерновая,Мучная,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хлопчат"&amp;"о-бумажная, хлопковая, льняная, шерстяная, пуховая и др. (с примесью диоксида кремния от 2 до 10 %),Силикаты стеклообразные вулканического происхождения (туфы, пемза, перлит) ,Слюды, тальк, талькопородные пыли содержащие до 10% свободного диоксида кремния"&amp;",Искусственные минеральные волокна силикатные и алюмосиликатные стеклообразной структуры,Цемент, оливин, апатит, форстерит, глина, шамот каолиновый,Коксы каменноугольный, пековый, нефтяной, сланцевый,Антрацит с содержанием свободного диоксида кремния до 5"&amp;" %,Другие ископаемые угли и углеродные пыли с содержанием свободного диоксида кремния до 5%, от 5% до 10%")</f>
        <v>Азота диоксид,Азота оксид (IV) в перерарасчете на (NO2),Аммиак,Ангидрид сернистый,Ангидрид хромовый,Антрацен,Аценафтен,Бензол,Водорода хлорид,Водорода цианид,Электрокорунд, электрокорунд хромистый,Кислота серная,Ксилол (мета-,орто-, пара-),Медь,Марганца оксиды (в пересчете на MnO2) аэрозоль дезинтеграции,Марганца оксиды (в пересчете на MnO2) аэрозоль конденсации,Масла минеральные нефтяные,Моноэтаноламин,1-Метилнафталин, 2-Метилнафталин,Мышьяка неорганические соединения (по мышьяку),Натрия тиосульфат,Нафталин,Никель, никеля оксиды, сульфиды и смеси соединений никеля (файнштейн, никелевый концентрат и агломерат, оборотная пыль очистных устройств (по Ni)
,Озон,Пиридин,Ртуть,Сероводород,Сероуглерод,Свинец и его неорганические соединения (по свинцу),Сода кальцинированная,Титан и его диоксид,Триэтаноламин ,Толуол,Углеводороды алифатические предельные,Углерода оксид,Фенол,Формальдегид,Хлор,Хлора диоксид,Хрома оксид (по Cr+3),Цинка оксид,Щелочи едкие (растворы в перерасчете на NaOH),Алюминия оксид с примесью диоксида кремния ( в виде аерозоля конденсации),Марганець в сварочном аэрозоле: (до 20% и 20-30%),Аммония сульфат ,Бокситы,Доломит,Железный агломерат,Железорудные окатыши,Известняк,Кремния диоксид аморфный в виде аэрозоля конденсации при содержании меньше 10 %,Кремния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др.),Пыль доменного шлака,Магнезит,Шамотнографитовые огнеупоры,Зерновая,Мучная,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v>
      </c>
      <c r="I97" s="17" t="str">
        <f>IFERROR(__xludf.DUMMYFUNCTION("""COMPUTED_VALUE"""),"")</f>
        <v/>
      </c>
      <c r="J97" s="17" t="str">
        <f>IFERROR(__xludf.DUMMYFUNCTION("""COMPUTED_VALUE"""),"Важкість праці,Напруженість праці")</f>
        <v>Важкість праці,Напруженість праці</v>
      </c>
      <c r="K97" s="18">
        <f>IFERROR(__xludf.DUMMYFUNCTION("""COMPUTED_VALUE"""),43493.0)</f>
        <v>43493</v>
      </c>
      <c r="L97" s="18" t="str">
        <f>IFERROR(__xludf.DUMMYFUNCTION("""COMPUTED_VALUE"""),"")</f>
        <v/>
      </c>
    </row>
    <row r="98">
      <c r="A98" s="11">
        <f t="shared" si="1"/>
        <v>95</v>
      </c>
      <c r="B98" s="16" t="str">
        <f>IFERROR(__xludf.DUMMYFUNCTION("""COMPUTED_VALUE"""),"ТОВ ""КОРУМ ДРУЖКІВСЬКИЙ МАШИНОБУДІВНИЙ ЗАВОД"" промислово-санітарна лабораторія")</f>
        <v>ТОВ "КОРУМ ДРУЖКІВСЬКИЙ МАШИНОБУДІВНИЙ ЗАВОД" промислово-санітарна лабораторія</v>
      </c>
      <c r="C98" s="16" t="str">
        <f>IFERROR(__xludf.DUMMYFUNCTION("""COMPUTED_VALUE"""),"Донецька")</f>
        <v>Донецька</v>
      </c>
      <c r="D98" s="16" t="str">
        <f>IFERROR(__xludf.DUMMYFUNCTION("""COMPUTED_VALUE"""),"Дружківка")</f>
        <v>Дружківка</v>
      </c>
      <c r="E98" s="16" t="str">
        <f>IFERROR(__xludf.DUMMYFUNCTION("""COMPUTED_VALUE"""),"вул. Соборна, 7")</f>
        <v>вул. Соборна, 7</v>
      </c>
      <c r="F98" s="17" t="str">
        <f>IFERROR(__xludf.DUMMYFUNCTION("""COMPUTED_VALUE"""),"050-871-93-61")</f>
        <v>050-871-93-61</v>
      </c>
      <c r="G98" s="17" t="str">
        <f>IFERROR(__xludf.DUMMYFUNCTION("""COMPUTED_VALUE"""),"Вібрація загальна та локальна,Шум,Неіонізуюче випромінювання,Мікроклімат,Освітлення,Атмосферний тиск")</f>
        <v>Вібрація загальна та локальна,Шум,Неіонізуюче випромінювання,Мікроклімат,Освітлення,Атмосферний тиск</v>
      </c>
      <c r="H98" s="17" t="str">
        <f>IFERROR(__xludf.DUMMYFUNCTION("""COMPUTED_VALUE"""),"Азота диоксид,Азота оксид (IV) в перерарасчете на (NO2),Акролеин,Аммиак,Ангидрид сернистый,Ангидрид хромовый,Ацетон,Водорода хлорид,Водород фтористий (в пересчете на F),Кислота серная,Масла минеральные нефтяные,Озон,Ртуть,Сероводород,Свинец и его неоргани"&amp;"ческие соединения (по свинцу),Толуол,Углерода оксид,Формальдегид,Хроматы, бихроматы,Цинка оксид,Щелочи едкие (растворы в перерасчете на NaOH),Марганець в сварочном аэрозоле: (до 20% и 20-30%),Пыль доменного шлака,Зерновая,Мучная, древесная и др. (с примес"&amp;"ью диоксида кремния меньше 2 %),Лубяная,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10 %,А"&amp;"сбестопородные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сво"&amp;"бодного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слан"&amp;"цевый,Антрацит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содер"&amp;"жанием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f>
        <v>Азота диоксид,Азота оксид (IV) в перерарасчете на (NO2),Акролеин,Аммиак,Ангидрид сернистый,Ангидрид хромовый,Ацетон,Водорода хлорид,Водород фтористий (в пересчете на F),Кислота серная,Масла минеральные нефтяные,Озон,Ртуть,Сероводород,Свинец и его неорганические соединения (по свинцу),Толуол,Углерода оксид,Формальдегид,Хроматы, бихроматы,Цинка оксид,Щелочи едкие (растворы в перерасчете на NaOH),Марганець в сварочном аэрозоле: (до 20% и 20-30%),Пыль доменного шлака,Зерновая,Мучная,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v>
      </c>
      <c r="I98" s="17" t="str">
        <f>IFERROR(__xludf.DUMMYFUNCTION("""COMPUTED_VALUE"""),"")</f>
        <v/>
      </c>
      <c r="J98" s="17" t="str">
        <f>IFERROR(__xludf.DUMMYFUNCTION("""COMPUTED_VALUE"""),"Важкість праці,Напруженість праці")</f>
        <v>Важкість праці,Напруженість праці</v>
      </c>
      <c r="K98" s="18">
        <f>IFERROR(__xludf.DUMMYFUNCTION("""COMPUTED_VALUE"""),43495.0)</f>
        <v>43495</v>
      </c>
      <c r="L98" s="18" t="str">
        <f>IFERROR(__xludf.DUMMYFUNCTION("""COMPUTED_VALUE"""),"")</f>
        <v/>
      </c>
    </row>
    <row r="99">
      <c r="A99" s="11">
        <f t="shared" si="1"/>
        <v>96</v>
      </c>
      <c r="B99" s="16" t="str">
        <f>IFERROR(__xludf.DUMMYFUNCTION("""COMPUTED_VALUE"""),"ПАТ ""АЗОТ"" промислово-санітарна лабораторія")</f>
        <v>ПАТ "АЗОТ" промислово-санітарна лабораторія</v>
      </c>
      <c r="C99" s="16" t="str">
        <f>IFERROR(__xludf.DUMMYFUNCTION("""COMPUTED_VALUE"""),"Черкаська")</f>
        <v>Черкаська</v>
      </c>
      <c r="D99" s="16" t="str">
        <f>IFERROR(__xludf.DUMMYFUNCTION("""COMPUTED_VALUE"""),"Черкаси")</f>
        <v>Черкаси</v>
      </c>
      <c r="E99" s="16" t="str">
        <f>IFERROR(__xludf.DUMMYFUNCTION("""COMPUTED_VALUE"""),"вул. Першотравнева, 72")</f>
        <v>вул. Першотравнева, 72</v>
      </c>
      <c r="F99" s="17" t="str">
        <f>IFERROR(__xludf.DUMMYFUNCTION("""COMPUTED_VALUE"""),"047-39-63-24          097-295-22-11       093-504-52-58")</f>
        <v>047-39-63-24          097-295-22-11       093-504-52-58</v>
      </c>
      <c r="G99" s="17" t="str">
        <f>IFERROR(__xludf.DUMMYFUNCTION("""COMPUTED_VALUE"""),"Вібрація загальна та локальна,Шум,Мікроклімат,Освітлення")</f>
        <v>Вібрація загальна та локальна,Шум,Мікроклімат,Освітлення</v>
      </c>
      <c r="H99" s="17" t="str">
        <f>IFERROR(__xludf.DUMMYFUNCTION("""COMPUTED_VALUE"""),"Азота диоксид,Азота оксид (IV) в перерарасчете на (NO2),Акролеин,Аммиак,Ангидрид хромовый,Ацетон,Бензол,Водорода хлорид,Дихлорэтан,Эпихлоргидрин,Этилацетат ,Карбамид (мочевина),Кислота серная,Ксилол (мета-,орто-, пара-),Масла минеральные нефтяные,Моноэтан"&amp;"оламин,Никель, никеля оксиды, сульфиды и смеси соединений никеля (файнштейн, никелевый концентрат и агломерат, оборотная пыль очистных устройств (по Ni)
,Озон,Ртуть,Селена диоксид,Сероводород,Свинец и его неорганические соединения (по свинцу),Спирт метило"&amp;"вий,Тетрахлорэтилен,Трихлорэтилен,Толуол,Углерода оксид,Фенол,Формальдегид,Хлор,Хрома оксид (по Cr+3),Циклогексан,Циклогексанон,Щелочи едкие (растворы в перерасчете на NaOH),Марганець в сварочном аэрозоле: (до 20% и 20-30%),Мучная, древесная и др. (с прим"&amp;"есью диоксида кремния меньше 2 %),Лубяная,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10 %"&amp;",Асбестопородные пыли при содержании в них асбеста до 10 %,Цемент, оливин, апатит, форстерит, глина, шамот каолиновый,Коксы каменноугольный, пековый, нефтяной, сланцевый")</f>
        <v>Азота диоксид,Азота оксид (IV) в перерарасчете на (NO2),Акролеин,Аммиак,Ангидрид хромовый,Ацетон,Бензол,Водорода хлорид,Дихлорэтан,Эпихлоргидрин,Этилацетат ,Карбамид (мочевина),Кислота серная,Ксилол (мета-,орто-, пара-),Масла минеральные нефтяные,Моноэтаноламин,Никель, никеля оксиды, сульфиды и смеси соединений никеля (файнштейн, никелевый концентрат и агломерат, оборотная пыль очистных устройств (по Ni)
,Озон,Ртуть,Селена диоксид,Сероводород,Свинец и его неорганические соединения (по свинцу),Спирт метиловий,Тетрахлорэтилен,Трихлорэтилен,Толуол,Углерода оксид,Фенол,Формальдегид,Хлор,Хрома оксид (по Cr+3),Циклогексан,Циклогексанон,Щелочи едкие (растворы в перерасчете на NaOH),Марганець в сварочном аэрозоле: (до 20% и 20-30%),Мучная,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10 %,Цемент, оливин, апатит, форстерит, глина, шамот каолиновый,Коксы каменноугольный, пековый, нефтяной, сланцевый</v>
      </c>
      <c r="I99" s="17" t="str">
        <f>IFERROR(__xludf.DUMMYFUNCTION("""COMPUTED_VALUE"""),"")</f>
        <v/>
      </c>
      <c r="J99" s="17" t="str">
        <f>IFERROR(__xludf.DUMMYFUNCTION("""COMPUTED_VALUE"""),"Важкість праці,Напруженість праці")</f>
        <v>Важкість праці,Напруженість праці</v>
      </c>
      <c r="K99" s="18">
        <f>IFERROR(__xludf.DUMMYFUNCTION("""COMPUTED_VALUE"""),43500.0)</f>
        <v>43500</v>
      </c>
      <c r="L99" s="18" t="str">
        <f>IFERROR(__xludf.DUMMYFUNCTION("""COMPUTED_VALUE"""),"")</f>
        <v/>
      </c>
    </row>
    <row r="100">
      <c r="A100" s="11">
        <f t="shared" si="1"/>
        <v>97</v>
      </c>
      <c r="B100" s="16" t="str">
        <f>IFERROR(__xludf.DUMMYFUNCTION("""COMPUTED_VALUE"""),"ТОВ ""АСПО ЛТД"" санітарно-екологічна лабораторія")</f>
        <v>ТОВ "АСПО ЛТД" санітарно-екологічна лабораторія</v>
      </c>
      <c r="C100" s="16" t="str">
        <f>IFERROR(__xludf.DUMMYFUNCTION("""COMPUTED_VALUE"""),"Вінницька")</f>
        <v>Вінницька</v>
      </c>
      <c r="D100" s="16" t="str">
        <f>IFERROR(__xludf.DUMMYFUNCTION("""COMPUTED_VALUE"""),"Вінниця")</f>
        <v>Вінниця</v>
      </c>
      <c r="E100" s="16" t="str">
        <f>IFERROR(__xludf.DUMMYFUNCTION("""COMPUTED_VALUE"""),"вул. Хмельницьке шосе, 2/715")</f>
        <v>вул. Хмельницьке шосе, 2/715</v>
      </c>
      <c r="F100" s="17" t="str">
        <f>IFERROR(__xludf.DUMMYFUNCTION("""COMPUTED_VALUE"""),"0432-66-20-69")</f>
        <v>0432-66-20-69</v>
      </c>
      <c r="G100" s="17" t="str">
        <f>IFERROR(__xludf.DUMMYFUNCTION("""COMPUTED_VALUE"""),"Вібрація загальна та локальна,Шум,Мікроклімат,Освітлення,Атмосферний тиск")</f>
        <v>Вібрація загальна та локальна,Шум,Мікроклімат,Освітлення,Атмосферний тиск</v>
      </c>
      <c r="H100" s="17" t="str">
        <f>IFERROR(__xludf.DUMMYFUNCTION("""COMPUTED_VALUE"""),"Азота диоксид,Азота оксид (IV) в перерарасчете на (NO2),Акролеин,Алюминий и його сплавы,Алюминия  оксид в смеси со сплавом никеля до 15% (электрокорунд),Аммиак,Ангидрид сернистый,Ангидрид хромовый,Ацетон,Бензол,Водорода хлорид,Водород фтористий (в пересче"&amp;"те на F),Электрокорунд, электрокорунд хромистый,Эпихлоргидрин,Этилацетат ,Кислота уксусная,Кислота серная,Лавсан,Ксилол (мета-,орто-, пара-),Медь,Масла минеральные нефтяные,Никель, никеля оксиды, сульфиды и смеси соединений никеля (файнштейн, никелевый ко"&amp;"нцентрат и агломерат, оборотная пыль очистных устройств (по Ni)
,Озон,Сероводород,Свинец и его неорганические соединения (по свинцу),Сода кальцинированная,Спирт этиловий,Титан и его диоксид,Толуол,Углерода оксид,Фенол,Формальдегид,Фенопласты,Хлор,Хрома ок"&amp;"сид (по Cr+3),Щелочи едкие (растворы в перерасчете на NaOH),Алюминия оксид в виде аэрозоля дезинтеграции (глинозем, электрокорунд, монокорунд),Алюминия оксид с примесью диоксида кремния ( в виде аерозоля конденсации),Марганець в сварочном аэрозоле: (до 20"&amp;"% и 20-30%),Аммофос+ (смесь моно- и диаммоний фосфатов),Известняк,Кремния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("&amp;"гранит, шамот, слюда-сирец, углепородная пыль и др.),Кремния карбид (карборунд).,Нитроаммофоска,Чугун в смесе с електрокорундом до 20%,Зерновая,Мучная, древесная и др. (с примесью диоксида кремния меньше 2 %),Лубяная, хлопчато-бумажная, хлопковая, льняная"&amp;",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10 %),Асбестоцемент неокрашенный и цветной,Асбестобакелит, асбесторезина,Силик"&amp;"аты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"&amp;"апатит, форстерит, глина, шамот каолиновый,Цеолиты (природные и искусственные)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свободного"&amp;" диоксида кремния до 5%, от 5% до 10%,Алмазы природные и искусственные")</f>
        <v>Азота диоксид,Азота оксид (IV) в перерарасчете на (NO2),Акролеин,Алюминий и його сплавы,Алюминия  оксид в смеси со сплавом никеля до 15% (электрокорунд),Аммиак,Ангидрид сернистый,Ангидрид хромовый,Ацетон,Бензол,Водорода хлорид,Водород фтористий (в пересчете на F),Электрокорунд, электрокорунд хромистый,Эпихлоргидрин,Этилацетат ,Кислота уксусная,Кислота серная,Лавсан,Ксилол (мета-,орто-, пара-),Медь,Масла минеральные нефтяные,Никель, никеля оксиды, сульфиды и смеси соединений никеля (файнштейн, никелевый концентрат и агломерат, оборотная пыль очистных устройств (по Ni)
,Озон,Сероводород,Свинец и его неорганические соединения (по свинцу),Сода кальцинированная,Спирт этиловий,Титан и его диоксид,Толуол,Углерода оксид,Фенол,Формальдегид,Фенопласты,Хлор,Хрома оксид (по Cr+3),Щелочи едкие (растворы в перерасчете на NaOH),Алюминия оксид в виде аэрозоля дезинтеграции (глинозем, электрокорунд, монокорунд),Алюминия оксид с примесью диоксида кремния ( в виде аерозоля конденсации),Марганець в сварочном аэрозоле: (до 20% и 20-30%),Аммофос+ (смесь моно- и диаммоний фосфатов),Известняк,Кремния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карбид (карборунд).,Нитроаммофоска,Чугун в смесе с електрокорундом до 20%,Зерновая,Мучная,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v>
      </c>
      <c r="I100" s="17" t="str">
        <f>IFERROR(__xludf.DUMMYFUNCTION("""COMPUTED_VALUE"""),"")</f>
        <v/>
      </c>
      <c r="J100" s="17" t="str">
        <f>IFERROR(__xludf.DUMMYFUNCTION("""COMPUTED_VALUE"""),"Важкість праці,Напруженість праці")</f>
        <v>Важкість праці,Напруженість праці</v>
      </c>
      <c r="K100" s="18">
        <f>IFERROR(__xludf.DUMMYFUNCTION("""COMPUTED_VALUE"""),43523.0)</f>
        <v>43523</v>
      </c>
      <c r="L100" s="18" t="str">
        <f>IFERROR(__xludf.DUMMYFUNCTION("""COMPUTED_VALUE"""),"")</f>
        <v/>
      </c>
    </row>
    <row r="101">
      <c r="A101" s="11">
        <f t="shared" si="1"/>
        <v>98</v>
      </c>
      <c r="B101" s="16" t="str">
        <f>IFERROR(__xludf.DUMMYFUNCTION("""COMPUTED_VALUE"""),"ПАТ ""МОТОР СІЧ"" комплексна санітарно-технічна лабораторія")</f>
        <v>ПАТ "МОТОР СІЧ" комплексна санітарно-технічна лабораторія</v>
      </c>
      <c r="C101" s="16" t="str">
        <f>IFERROR(__xludf.DUMMYFUNCTION("""COMPUTED_VALUE"""),"Запорізька")</f>
        <v>Запорізька</v>
      </c>
      <c r="D101" s="16" t="str">
        <f>IFERROR(__xludf.DUMMYFUNCTION("""COMPUTED_VALUE"""),"Запоріжжя")</f>
        <v>Запоріжжя</v>
      </c>
      <c r="E101" s="16" t="str">
        <f>IFERROR(__xludf.DUMMYFUNCTION("""COMPUTED_VALUE"""),"пр. Моторобудівників, 15")</f>
        <v>пр. Моторобудівників, 15</v>
      </c>
      <c r="F101" s="17" t="str">
        <f>IFERROR(__xludf.DUMMYFUNCTION("""COMPUTED_VALUE"""),"061-720-40-92")</f>
        <v>061-720-40-92</v>
      </c>
      <c r="G101" s="17" t="str">
        <f>IFERROR(__xludf.DUMMYFUNCTION("""COMPUTED_VALUE"""),"Вібрація загальна та локальна,Шум,Ультразвук,Інфразвук,Неіонізуюче випромінювання,Іонізуюче випромінювання,Мікроклімат,Освітлення,Атмосферний тиск")</f>
        <v>Вібрація загальна та локальна,Шум,Ультразвук,Інфразвук,Неіонізуюче випромінювання,Іонізуюче випромінювання,Мікроклімат,Освітлення,Атмосферний тиск</v>
      </c>
      <c r="H101" s="17" t="str">
        <f>IFERROR(__xludf.DUMMYFUNCTION("""COMPUTED_VALUE"""),"Азота диоксид,Азота оксид (IV) в перерарасчете на (NO2),Акролеин,Аммиак,Ангидрид сернистый,Ангидрид фосфорный,Ангидрид хромовый,Ацетон,Бензин,Бензол,Бутилацетат,Водорода хлорид,Водорода цианид,Водород фтористий (в пересчете на F),Дибутилфталат,Электрокору"&amp;"нд, электрокорунд хромистый,Эпихлоргидрин,Этилбензол,Этилацетат ,Кислота серная,Ксилол (мета-,орто-, пара-),Медь,Марганца оксиды (в пересчете на MnO2) аэрозоль дезинтеграции,Масла минеральные нефтяные,Моноэтаноламин,Натрия хлорид,Никеля соли в виде гидроа"&amp;"эрозоля (по Ni),Никель, никеля оксиды, сульфиды и смеси соединений никеля (файнштейн, никелевый концентрат и агломерат, оборотная пыль очистных устройств (по Ni)
,Озон,Сероводород,Свинец и его неорганические соединения (по свинцу),Сода кальцинированная,Сп"&amp;"ирт н-бутиловый, бутиловый вторичный и третичный
,Спирт этиловий,Спирт пропиловый,Спирт изобутиловый,Спирт изопропиловый,Стирол,Титан и его диоксид,Толуилендиизоцианат,Триэтаноламин ,Толуол,Уайт-спирит (в пересчете на С),Углеводороды алифатические предель"&amp;"ные,Углерода оксид,Фенол,Формальдегид,Фтористоводородной кислоты соли (по F):
 фториды натрия, калия, аммония, цинка, олова, серебра, лития и бария, криолит, гидрофторид аммония,Фтористоводородной кислоты соли (по F) фториды алюминия, магния, кальция, стр"&amp;"онция, меди, хрома,Хлор,Хрома оксид (по Cr+3),Циклогексанон,Цинка оксид,Щелочи едкие (растворы в перерасчете на NaOH),Алюминий и его сплавы (в перерасчете на алюминий),Алюминия оксид в виде аэрозоля дезинтеграции (глинозем, электрокорунд, монокорунд),Воль"&amp;"фрамокобальтовые сплавы с примесью алмаза до 5%,Марганець в сварочном аэрозоле: (до 20% и 20-30%),Известняк,Кремния диоксид аморфный в виде аэрозоля конденсации при содержании меньше 10 %,Кремния диоксид кристаллический (кварц, кристобелит, тридимит) при "&amp;"содержании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куке"&amp;"рситные сланцы, медно сульфидные руды и др.),Магнезит,Чугун в смесе с електрокорундом до 20%,Зерновая,Мучная, древесная и др. (с примесью диоксида кремния меньше 2 %),Лубяная, хлопчато-бумажная, хлопковая, льняная, шерстяная, пуховая и др. (с примесью дио"&amp;"ксида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10 %,Асбестоп"&amp;"ородные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свободного"&amp;"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сланцевый,А"&amp;"нтрацит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"&amp;"бензапирена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f>
        <v>Азота диоксид,Азота оксид (IV) в перерарасчете на (NO2),Акролеин,Аммиак,Ангидрид сернистый,Ангидрид фосфорный,Ангидрид хромовый,Ацетон,Бензин,Бензол,Бутилацетат,Водорода хлорид,Водорода цианид,Водород фтористий (в пересчете на F),Дибутилфталат,Электрокорунд, электрокорунд хромистый,Эпихлоргидрин,Этилбензол,Этилацетат ,Кислота серная,Ксилол (мета-,орто-, пара-),Медь,Марганца оксиды (в пересчете на MnO2) аэрозоль дезинтеграции,Масла минеральные нефтяные,Моноэтаноламин,Натрия хлорид,Никеля соли в виде гидроаэрозоля (по Ni),Никель, никеля оксиды, сульфиды и смеси соединений никеля (файнштейн, никелевый концентрат и агломерат, оборотная пыль очистных устройств (по Ni)
,Озон,Сероводород,Свинец и его неорганические соединения (по свинцу),Сода кальцинированная,Спирт н-бутиловый, бутиловый вторичный и третичный
,Спирт этиловий,Спирт пропиловый,Спирт изобутиловый,Спирт изопропиловый,Стирол,Титан и его диоксид,Толуилендиизоцианат,Триэтаноламин ,Толуол,Уайт-спирит (в пересчете на С),Углеводороды алифатические предельные,Углерода оксид,Фенол,Формальдегид,Фтористоводородной кислоты соли (по F):
 фториды натрия, калия, аммония, цинка, олова, серебра, лития и бария, криолит, гидрофторид аммония,Фтористоводородной кислоты соли (по F) фториды алюминия, магния, кальция, стронция, меди, хрома,Хлор,Хрома оксид (по Cr+3),Циклогексанон,Цинка оксид,Щелочи едкие (растворы в перерасчете на NaOH),Алюминий и его сплавы (в перерасчете на алюминий),Алюминия оксид в виде аэрозоля дезинтеграции (глинозем, электрокорунд, монокорунд),Вольфрамокобальтовые сплавы с примесью алмаза до 5%,Марганець в сварочном аэрозоле: (до 20% и 20-30%),Известняк,Кремния диоксид аморфный в виде аэрозоля конденсации при содержании меньше 10 %,Кремния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др.),Магнезит,Чугун в смесе с електрокорундом до 20%,Зерновая,Мучная,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v>
      </c>
      <c r="I101" s="17" t="str">
        <f>IFERROR(__xludf.DUMMYFUNCTION("""COMPUTED_VALUE"""),"")</f>
        <v/>
      </c>
      <c r="J101" s="17" t="str">
        <f>IFERROR(__xludf.DUMMYFUNCTION("""COMPUTED_VALUE"""),"Важкість праці,Напруженість праці")</f>
        <v>Важкість праці,Напруженість праці</v>
      </c>
      <c r="K101" s="18">
        <f>IFERROR(__xludf.DUMMYFUNCTION("""COMPUTED_VALUE"""),43523.0)</f>
        <v>43523</v>
      </c>
      <c r="L101" s="18" t="str">
        <f>IFERROR(__xludf.DUMMYFUNCTION("""COMPUTED_VALUE"""),"")</f>
        <v/>
      </c>
    </row>
    <row r="102">
      <c r="A102" s="11">
        <f t="shared" si="1"/>
        <v>99</v>
      </c>
      <c r="B102" s="16" t="str">
        <f>IFERROR(__xludf.DUMMYFUNCTION("""COMPUTED_VALUE"""),"ПрАТ ""Полтавський гірничо-збагачувальний комбінат"" спеціалізована лабораторія")</f>
        <v>ПрАТ "Полтавський гірничо-збагачувальний комбінат" спеціалізована лабораторія</v>
      </c>
      <c r="C102" s="16" t="str">
        <f>IFERROR(__xludf.DUMMYFUNCTION("""COMPUTED_VALUE"""),"Полтавська")</f>
        <v>Полтавська</v>
      </c>
      <c r="D102" s="16" t="str">
        <f>IFERROR(__xludf.DUMMYFUNCTION("""COMPUTED_VALUE"""),"Горішні Плавні")</f>
        <v>Горішні Плавні</v>
      </c>
      <c r="E102" s="16" t="str">
        <f>IFERROR(__xludf.DUMMYFUNCTION("""COMPUTED_VALUE"""),"вул. Будівельників, 16")</f>
        <v>вул. Будівельників, 16</v>
      </c>
      <c r="F102" s="17" t="str">
        <f>IFERROR(__xludf.DUMMYFUNCTION("""COMPUTED_VALUE"""),"05348-7-46-81")</f>
        <v>05348-7-46-81</v>
      </c>
      <c r="G102" s="17" t="str">
        <f>IFERROR(__xludf.DUMMYFUNCTION("""COMPUTED_VALUE"""),"Вібрація загальна та локальна,Шум,Мікроклімат,Освітлення,Атмосферний тиск")</f>
        <v>Вібрація загальна та локальна,Шум,Мікроклімат,Освітлення,Атмосферний тиск</v>
      </c>
      <c r="H102" s="17" t="str">
        <f>IFERROR(__xludf.DUMMYFUNCTION("""COMPUTED_VALUE"""),"Азота диоксид,Азота оксид (IV) в перерарасчете на (NO2),Аммиак,Ангидрид сернистый,Ангидрид хромовый,Бензин,Водорода хлорид,Водород фтористий (в пересчете на F),1,3-диаминопропан-N-(3-тридецилокси) пропил и его ацетаты,Дизельное топливо,Кислота уксусная,Ки"&amp;"слота серная,Медь,Марганца оксиды (в пересчете на MnO2) аэрозоль дезинтеграции,Марганца оксиды (в пересчете на MnO2) аэрозоль конденсации,Масла минеральные нефтяные,Молибден,Ртуть,Сероводород,Свинец и его неорганические соединения (по свинцу),Сода кальцин"&amp;"ированная,Спирт метиловий,Тетрахлорэтилен,Углерода оксид,Фенол,Формальдегид,Фенолформальдегидные смолы по фенолу,Фенолформальдегидные смолы формальдегиду,Алюминия оксид в виде аэрозоля дезинтеграции (глинозем, электрокорунд, монокорунд),Марганець в свароч"&amp;"ном аэрозоле: (до 20% и 20-30%),Железный агломерат,Железорудные окатыши,Известняк,Кремния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пыле"&amp;"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др.),Кремния карбид (карборунд).,Зерновая,Мучная, древесная и др. "&amp;"(с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кремния"&amp;"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"&amp;"стеклообразные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апат"&amp;"ит, форстерит, глина, шамот каолиновый,Цеолиты (природные и искусственные)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дио"&amp;"ксида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волокнисты"&amp;"е материалы на основе гидрат полиакрилонитрильных волокон")</f>
        <v>Азота диоксид,Азота оксид (IV) в перерарасчете на (NO2),Аммиак,Ангидрид сернистый,Ангидрид хромовый,Бензин,Водорода хлорид,Водород фтористий (в пересчете на F),1,3-диаминопропан-N-(3-тридецилокси) пропил и его ацетаты,Дизельное топливо,Кислота уксусная,Кислота серная,Медь,Марганца оксиды (в пересчете на MnO2) аэрозоль дезинтеграции,Марганца оксиды (в пересчете на MnO2) аэрозоль конденсации,Масла минеральные нефтяные,Молибден,Ртуть,Сероводород,Свинец и его неорганические соединения (по свинцу),Сода кальцинированная,Спирт метиловий,Тетрахлорэтилен,Углерода оксид,Фенол,Формальдегид,Фенолформальдегидные смолы по фенолу,Фенолформальдегидные смолы формальдегиду,Алюминия оксид в виде аэрозоля дезинтеграции (глинозем, электрокорунд, монокорунд),Марганець в сварочном аэрозоле: (до 20% и 20-30%),Железный агломерат,Железорудные окатыши,Известняк,Кремния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др.),Кремния карбид (карборунд).,Зерновая,Мучная,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v>
      </c>
      <c r="I102" s="17" t="str">
        <f>IFERROR(__xludf.DUMMYFUNCTION("""COMPUTED_VALUE"""),"")</f>
        <v/>
      </c>
      <c r="J102" s="17" t="str">
        <f>IFERROR(__xludf.DUMMYFUNCTION("""COMPUTED_VALUE"""),"Важкість праці,Напруженість праці")</f>
        <v>Важкість праці,Напруженість праці</v>
      </c>
      <c r="K102" s="18">
        <f>IFERROR(__xludf.DUMMYFUNCTION("""COMPUTED_VALUE"""),43523.0)</f>
        <v>43523</v>
      </c>
      <c r="L102" s="18" t="str">
        <f>IFERROR(__xludf.DUMMYFUNCTION("""COMPUTED_VALUE"""),"")</f>
        <v/>
      </c>
    </row>
    <row r="103">
      <c r="A103" s="11">
        <f t="shared" si="1"/>
        <v>100</v>
      </c>
      <c r="B103" s="16" t="str">
        <f>IFERROR(__xludf.DUMMYFUNCTION("""COMPUTED_VALUE"""),"ДП ""Автоскладальний завод     № 1 "" ПАТ ""Автомобільна компанія ""Богдан Моторс""")</f>
        <v>ДП "Автоскладальний завод     № 1 " ПАТ "Автомобільна компанія "Богдан Моторс"</v>
      </c>
      <c r="C103" s="16" t="str">
        <f>IFERROR(__xludf.DUMMYFUNCTION("""COMPUTED_VALUE"""),"Волинська")</f>
        <v>Волинська</v>
      </c>
      <c r="D103" s="16" t="str">
        <f>IFERROR(__xludf.DUMMYFUNCTION("""COMPUTED_VALUE"""),"Луцьк")</f>
        <v>Луцьк</v>
      </c>
      <c r="E103" s="16" t="str">
        <f>IFERROR(__xludf.DUMMYFUNCTION("""COMPUTED_VALUE"""),"вул. Рівненська, 42")</f>
        <v>вул. Рівненська, 42</v>
      </c>
      <c r="F103" s="17" t="str">
        <f>IFERROR(__xludf.DUMMYFUNCTION("""COMPUTED_VALUE"""),"0332-78-41-44")</f>
        <v>0332-78-41-44</v>
      </c>
      <c r="G103" s="17" t="str">
        <f>IFERROR(__xludf.DUMMYFUNCTION("""COMPUTED_VALUE"""),"Вібрація загальна та локальна,Шум,Мікроклімат,Освітлення,Атмосферний тиск")</f>
        <v>Вібрація загальна та локальна,Шум,Мікроклімат,Освітлення,Атмосферний тиск</v>
      </c>
      <c r="H103" s="17" t="str">
        <f>IFERROR(__xludf.DUMMYFUNCTION("""COMPUTED_VALUE"""),"Азота диоксид,Азота оксид (IV) в перерарасчете на (NO2),Аминопласты (пресс-порошки),Аммиак,Ангидрид сернистый,Ангидрид фосфорный,Бензин,Бензол,Бутилацетат,Водорода хлорид,Зола горючих сланцев,Электрокорунд, электрокорунд хромистый,Этилбензол,Этилацетат ,К"&amp;"апрон,Кислота уксусная,Керамика,Кислота серная,Лавсан,Ксилол (мета-,орто-, пара-),Масла минеральные нефтяные,Никеля соли в виде гидроаэрозоля (по Ni),Никель, никеля оксиды, сульфиды и смеси соединений никеля (файнштейн, никелевый концентрат и агломерат, о"&amp;"боротная пыль очистных устройств (по Ni)
,Свинец и его неорганические соединения (по свинцу),Сода кальцинированная,Синтетические моющие средства „Лотос”,”Ера”,”Ока” ,Спирт н-бутиловый, бутиловый вторичный и третичный
,Спирт этиловий,Стирол,Толуол,Уайт-спи"&amp;"рит (в пересчете на С),Углерода оксид,Формальдегид,Фенопласты,Фторопласт-4,Хроматы, бихроматы,Хрома оксид (по Cr+3),Цинка оксид,Щелочи едкие (растворы в перерасчете на NaOH),Марганець в сварочном аэрозоле: (до 20% и 20-30%),Железный агломерат,Известняк,Ко"&amp;"рунд белый,Нитрон,Чугун в смесе с електрокорундом до 20%,Зерновая,Мучная,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10%),Силикатсоде"&amp;"ржащие пыли, силикаты, алюмосиликаты при содержании асбеста менее 10%; асбестоцемент,Силикатсодержащие пыли, силикаты, алюмосиликаты при содержанииасбеста от 10 до 20%
,Силикатсодержащие пыли, силикаты, алюмосиликаты асбесты природные (хризолит, актофилли"&amp;"т, эктинолит, тремолит, магнезиарфведсонит) и синтетическиеасбесты, а такжесмешанныеасбестопородныепыли при содержании в них асбестаболее 20%;
,Асбестоцемент неокрашенный и цветной,Асбестобакелит, асбесторезина,Слюды, тальк, талькопородные пыли содержащи"&amp;"е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каолиновый,Коксы каменноугольный, пековый, нефтяной, сланцевый,Антрацит с содержан"&amp;"ием свободного диоксида кремния до 5 %,Алмазы природные и искусственные,Алмаз металлизированый,Сажи черные промышленные с содержанием бензапирена не более 35 мг на 1 кг")</f>
        <v>Азота диоксид,Азота оксид (IV) в перерарасчете на (NO2),Аминопласты (пресс-порошки),Аммиак,Ангидрид сернистый,Ангидрид фосфорный,Бензин,Бензол,Бутилацетат,Водорода хлорид,Зола горючих сланцев,Электрокорунд, электрокорунд хромистый,Этилбензол,Этилацетат ,Капрон,Кислота уксусная,Керамика,Кислота серная,Лавсан,Ксилол (мета-,орто-, пара-),Масла минеральные нефтяные,Никеля соли в виде гидроаэрозоля (по Ni),Никель, никеля оксиды, сульфиды и смеси соединений никеля (файнштейн, никелевый концентрат и агломерат, оборотная пыль очистных устройств (по Ni)
,Свинец и его неорганические соединения (по свинцу),Сода кальцинированная,Синтетические моющие средства „Лотос”,”Ера”,”Ока” ,Спирт н-бутиловый, бутиловый вторичный и третичный
,Спирт этиловий,Стирол,Толуол,Уайт-спирит (в пересчете на С),Углерода оксид,Формальдегид,Фенопласты,Фторопласт-4,Хроматы, бихроматы,Хрома оксид (по Cr+3),Цинка оксид,Щелочи едкие (растворы в перерасчете на NaOH),Марганець в сварочном аэрозоле: (до 20% и 20-30%),Железный агломерат,Известняк,Корунд белый,Нитрон,Чугун в смесе с електрокорундом до 20%,Зерновая,Мучная,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10%),Силикатсодержащие пыли, силикаты, алюмосиликаты при содержании асбеста менее 10%; асбестоцемент,Силикатсодержащие пыли, силикаты, алюмосиликаты при содержанииасбеста от 10 до 20%
,Силикатсодержащие пыли, силикаты, алюмосиликаты асбесты природные (хризолит, актофиллит, эктинолит, тремолит, магнезиарфведсонит) и синтетическиеасбесты, а такжесмешанныеасбестопородныепыли при содержании в них асбестаболее 20%;
,Асбестоцемент неокрашенный и цветной,Асбестобакелит, асбесторезина,Слюды,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каолиновый,Коксы каменноугольный, пековый, нефтяной, сланцевый,Антрацит с содержанием свободного диоксида кремния до 5 %,Алмазы природные и искусственные,Алмаз металлизированый,Сажи черные промышленные с содержанием бензапирена не более 35 мг на 1 кг</v>
      </c>
      <c r="I103" s="17" t="str">
        <f>IFERROR(__xludf.DUMMYFUNCTION("""COMPUTED_VALUE"""),"")</f>
        <v/>
      </c>
      <c r="J103" s="17" t="str">
        <f>IFERROR(__xludf.DUMMYFUNCTION("""COMPUTED_VALUE"""),"Важкість праці,Напруженість праці")</f>
        <v>Важкість праці,Напруженість праці</v>
      </c>
      <c r="K103" s="18">
        <f>IFERROR(__xludf.DUMMYFUNCTION("""COMPUTED_VALUE"""),43523.0)</f>
        <v>43523</v>
      </c>
      <c r="L103" s="18" t="str">
        <f>IFERROR(__xludf.DUMMYFUNCTION("""COMPUTED_VALUE"""),"")</f>
        <v/>
      </c>
    </row>
    <row r="104">
      <c r="A104" s="11">
        <f t="shared" si="1"/>
        <v>101</v>
      </c>
      <c r="B104" s="16" t="str">
        <f>IFERROR(__xludf.DUMMYFUNCTION("""COMPUTED_VALUE"""),"ФОП Москаленко Людмила Степанівна")</f>
        <v>ФОП Москаленко Людмила Степанівна</v>
      </c>
      <c r="C104" s="16" t="str">
        <f>IFERROR(__xludf.DUMMYFUNCTION("""COMPUTED_VALUE"""),"Миколаївська")</f>
        <v>Миколаївська</v>
      </c>
      <c r="D104" s="16" t="str">
        <f>IFERROR(__xludf.DUMMYFUNCTION("""COMPUTED_VALUE"""),"Миколаїв")</f>
        <v>Миколаїв</v>
      </c>
      <c r="E104" s="16" t="str">
        <f>IFERROR(__xludf.DUMMYFUNCTION("""COMPUTED_VALUE"""),"пр-т Миру, 54 В, корп. 2, оф. 208")</f>
        <v>пр-т Миру, 54 В, корп. 2, оф. 208</v>
      </c>
      <c r="F104" s="17" t="str">
        <f>IFERROR(__xludf.DUMMYFUNCTION("""COMPUTED_VALUE"""),"050-635-46-36")</f>
        <v>050-635-46-36</v>
      </c>
      <c r="G104" s="17" t="str">
        <f>IFERROR(__xludf.DUMMYFUNCTION("""COMPUTED_VALUE"""),"Вібрація загальна та локальна,Шум,Мікроклімат,Освітлення,Атмосферний тиск")</f>
        <v>Вібрація загальна та локальна,Шум,Мікроклімат,Освітлення,Атмосферний тиск</v>
      </c>
      <c r="H104" s="17" t="str">
        <f>IFERROR(__xludf.DUMMYFUNCTION("""COMPUTED_VALUE"""),"")</f>
        <v/>
      </c>
      <c r="I104" s="17" t="str">
        <f>IFERROR(__xludf.DUMMYFUNCTION("""COMPUTED_VALUE"""),"")</f>
        <v/>
      </c>
      <c r="J104" s="17" t="str">
        <f>IFERROR(__xludf.DUMMYFUNCTION("""COMPUTED_VALUE"""),"Важкість праці,Напруженість праці")</f>
        <v>Важкість праці,Напруженість праці</v>
      </c>
      <c r="K104" s="18">
        <f>IFERROR(__xludf.DUMMYFUNCTION("""COMPUTED_VALUE"""),43535.0)</f>
        <v>43535</v>
      </c>
      <c r="L104" s="18" t="str">
        <f>IFERROR(__xludf.DUMMYFUNCTION("""COMPUTED_VALUE"""),"")</f>
        <v/>
      </c>
    </row>
    <row r="105">
      <c r="A105" s="11">
        <f t="shared" si="1"/>
        <v>102</v>
      </c>
      <c r="B105" s="16" t="str">
        <f>IFERROR(__xludf.DUMMYFUNCTION("""COMPUTED_VALUE"""),"ДУ ""Чернігівський обласний лабораторний центр МОЗ України""")</f>
        <v>ДУ "Чернігівський обласний лабораторний центр МОЗ України"</v>
      </c>
      <c r="C105" s="16" t="str">
        <f>IFERROR(__xludf.DUMMYFUNCTION("""COMPUTED_VALUE"""),"Чернігівська")</f>
        <v>Чернігівська</v>
      </c>
      <c r="D105" s="16" t="str">
        <f>IFERROR(__xludf.DUMMYFUNCTION("""COMPUTED_VALUE"""),"Чернігів")</f>
        <v>Чернігів</v>
      </c>
      <c r="E105" s="16" t="str">
        <f>IFERROR(__xludf.DUMMYFUNCTION("""COMPUTED_VALUE"""),"вул. Любецька, 11 А")</f>
        <v>вул. Любецька, 11 А</v>
      </c>
      <c r="F105" s="17" t="str">
        <f>IFERROR(__xludf.DUMMYFUNCTION("""COMPUTED_VALUE"""),"0462-77-47-03     0462-65-13-39")</f>
        <v>0462-77-47-03     0462-65-13-39</v>
      </c>
      <c r="G105" s="17" t="str">
        <f>IFERROR(__xludf.DUMMYFUNCTION("""COMPUTED_VALUE"""),"Вібрація загальна та локальна,Шум,Неіонізуюче випромінювання,Іонізуюче випромінювання,Мікроклімат,Освітлення")</f>
        <v>Вібрація загальна та локальна,Шум,Неіонізуюче випромінювання,Іонізуюче випромінювання,Мікроклімат,Освітлення</v>
      </c>
      <c r="H105" s="17" t="str">
        <f>IFERROR(__xludf.DUMMYFUNCTION("""COMPUTED_VALUE"""),"Хлорорганічні,Фосфорорганічні,Синтетичні піретроїди")</f>
        <v>Хлорорганічні,Фосфорорганічні,Синтетичні піретроїди</v>
      </c>
      <c r="I105" s="17" t="str">
        <f>IFERROR(__xludf.DUMMYFUNCTION("""COMPUTED_VALUE"""),"")</f>
        <v/>
      </c>
      <c r="J105" s="17" t="str">
        <f>IFERROR(__xludf.DUMMYFUNCTION("""COMPUTED_VALUE"""),"Важкість праці,Напруженість праці")</f>
        <v>Важкість праці,Напруженість праці</v>
      </c>
      <c r="K105" s="18">
        <f>IFERROR(__xludf.DUMMYFUNCTION("""COMPUTED_VALUE"""),43524.0)</f>
        <v>43524</v>
      </c>
      <c r="L105" s="18" t="str">
        <f>IFERROR(__xludf.DUMMYFUNCTION("""COMPUTED_VALUE"""),"")</f>
        <v/>
      </c>
    </row>
    <row r="106">
      <c r="A106" s="11">
        <f t="shared" si="1"/>
        <v>103</v>
      </c>
      <c r="B106" s="16" t="str">
        <f>IFERROR(__xludf.DUMMYFUNCTION("""COMPUTED_VALUE"""),"ВП ""Хмельницька АЕС"" ДП ""Енергоатом""")</f>
        <v>ВП "Хмельницька АЕС" ДП "Енергоатом"</v>
      </c>
      <c r="C106" s="16" t="str">
        <f>IFERROR(__xludf.DUMMYFUNCTION("""COMPUTED_VALUE"""),"Хмельницька")</f>
        <v>Хмельницька</v>
      </c>
      <c r="D106" s="16" t="str">
        <f>IFERROR(__xludf.DUMMYFUNCTION("""COMPUTED_VALUE"""),"Нетішин")</f>
        <v>Нетішин</v>
      </c>
      <c r="E106" s="16" t="str">
        <f>IFERROR(__xludf.DUMMYFUNCTION("""COMPUTED_VALUE"""),"вул. Енергетиків, 20")</f>
        <v>вул. Енергетиків, 20</v>
      </c>
      <c r="F106" s="17" t="str">
        <f>IFERROR(__xludf.DUMMYFUNCTION("""COMPUTED_VALUE"""),"03842-6-31-83")</f>
        <v>03842-6-31-83</v>
      </c>
      <c r="G106" s="17" t="str">
        <f>IFERROR(__xludf.DUMMYFUNCTION("""COMPUTED_VALUE"""),"Вібрація загальна та локальна,Шум,Мікроклімат,Освітлення")</f>
        <v>Вібрація загальна та локальна,Шум,Мікроклімат,Освітлення</v>
      </c>
      <c r="H106" s="17" t="str">
        <f>IFERROR(__xludf.DUMMYFUNCTION("""COMPUTED_VALUE"""),"Азота диоксид,Азота оксид (IV) в перерарасчете на (NO2),Аммиак,Ангидрид сернистый,Ангидрид хромовый,Водорода хлорид,Водород фтористий (в пересчете на F),Гидразин и его производные,Кислота уксусная,Кислота серная,Марганца оксиды (в пересчете на MnO2) аэроз"&amp;"оль дезинтеграции,Марганца оксиды (в пересчете на MnO2) аэрозоль конденсации,Масла минеральные нефтяные,Морфолин,Никель, никеля оксиды, сульфиды и смеси соединений никеля (файнштейн, никелевый концентрат и агломерат, оборотная пыль очистных устройств (по "&amp;"Ni)
,Озон,Свинец и его неорганические соединения (по свинцу),Триксиленилфосфат,Фтористоводородной кислоты соли (по F):
 фториды натрия, калия, аммония, цинка, олова, серебра, лития и бария, криолит, гидрофторид аммония,Хлор,Хрома оксид (по Cr+3),Щелочи ед"&amp;"кие (растворы в перерасчете на NaOH),Марганець в сварочном аэрозоле: (до 20% и 20-30%),Аммофос+ (смесь моно- и диаммоний фосфатов),Бора нитрид кубический и гексагональный,Кремния карбид (карборунд).,Мучная, древесная и др. (с примесью диоксида кремния мен"&amp;"ьше 2 %),Лубяная, хлопчато-бумажная, хлопковая, льняная, шерстяная, пуховая и др. (с примесью диоксида кремния более 10%),Асбестобакелит, асбесторезина,Силикаты стеклообразные вулканического происхождения (туфы, пемза, перлит) ,Искусственные минеральные в"&amp;"олокна силикатные и алюмосиликатные стеклообразной структуры,Цемент, оливин, апатит, форстерит, глина, шамот каолиновый")</f>
        <v>Азота диоксид,Азота оксид (IV) в перерарасчете на (NO2),Аммиак,Ангидрид сернистый,Ангидрид хромовый,Водорода хлорид,Водород фтористий (в пересчете на F),Гидразин и его производные,Кислота уксусная,Кислота серная,Марганца оксиды (в пересчете на MnO2) аэрозоль дезинтеграции,Марганца оксиды (в пересчете на MnO2) аэрозоль конденсации,Масла минеральные нефтяные,Морфолин,Никель, никеля оксиды, сульфиды и смеси соединений никеля (файнштейн, никелевый концентрат и агломерат, оборотная пыль очистных устройств (по Ni)
,Озон,Свинец и его неорганические соединения (по свинцу),Триксиленилфосфат,Фтористоводородной кислоты соли (по F):
 фториды натрия, калия, аммония, цинка, олова, серебра, лития и бария, криолит, гидрофторид аммония,Хлор,Хрома оксид (по Cr+3),Щелочи едкие (растворы в перерасчете на NaOH),Марганець в сварочном аэрозоле: (до 20% и 20-30%),Аммофос+ (смесь моно- и диаммоний фосфатов),Бора нитрид кубический и гексагональный,Кремния карбид (карборунд).,Мучная,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10%),Асбестобакелит, асбесторезина,Силикаты стеклообразные вулканического происхождения (туфы, пемза, перлит) ,Искусственные минеральные волокна силикатные и алюмосиликатные стеклообразной структуры,Цемент, оливин, апатит, форстерит, глина, шамот каолиновый</v>
      </c>
      <c r="I106" s="17" t="str">
        <f>IFERROR(__xludf.DUMMYFUNCTION("""COMPUTED_VALUE"""),"Загальне мікробне число в 1 м3")</f>
        <v>Загальне мікробне число в 1 м3</v>
      </c>
      <c r="J106" s="17" t="str">
        <f>IFERROR(__xludf.DUMMYFUNCTION("""COMPUTED_VALUE"""),"Важкість праці,Напруженість праці")</f>
        <v>Важкість праці,Напруженість праці</v>
      </c>
      <c r="K106" s="18">
        <f>IFERROR(__xludf.DUMMYFUNCTION("""COMPUTED_VALUE"""),43524.0)</f>
        <v>43524</v>
      </c>
      <c r="L106" s="18" t="str">
        <f>IFERROR(__xludf.DUMMYFUNCTION("""COMPUTED_VALUE"""),"")</f>
        <v/>
      </c>
    </row>
    <row r="107">
      <c r="A107" s="11">
        <f t="shared" si="1"/>
        <v>104</v>
      </c>
      <c r="B107" s="16" t="str">
        <f>IFERROR(__xludf.DUMMYFUNCTION("""COMPUTED_VALUE"""),"ПрАТ ""Уманський завод ""Мегомметр"" виробничо-санітарна лабораторія")</f>
        <v>ПрАТ "Уманський завод "Мегомметр" виробничо-санітарна лабораторія</v>
      </c>
      <c r="C107" s="16" t="str">
        <f>IFERROR(__xludf.DUMMYFUNCTION("""COMPUTED_VALUE"""),"Черкаська")</f>
        <v>Черкаська</v>
      </c>
      <c r="D107" s="16" t="str">
        <f>IFERROR(__xludf.DUMMYFUNCTION("""COMPUTED_VALUE"""),"Умань")</f>
        <v>Умань</v>
      </c>
      <c r="E107" s="16" t="str">
        <f>IFERROR(__xludf.DUMMYFUNCTION("""COMPUTED_VALUE"""),"вул. Небесної сотні, 49")</f>
        <v>вул. Небесної сотні, 49</v>
      </c>
      <c r="F107" s="17" t="str">
        <f>IFERROR(__xludf.DUMMYFUNCTION("""COMPUTED_VALUE"""),"04744-3-42-52       095-812-86-32")</f>
        <v>04744-3-42-52       095-812-86-32</v>
      </c>
      <c r="G107" s="17" t="str">
        <f>IFERROR(__xludf.DUMMYFUNCTION("""COMPUTED_VALUE"""),"Вібрація загальна та локальна,Шум,Неіонізуюче випромінювання,Мікроклімат,Освітлення")</f>
        <v>Вібрація загальна та локальна,Шум,Неіонізуюче випромінювання,Мікроклімат,Освітлення</v>
      </c>
      <c r="H107" s="17" t="str">
        <f>IFERROR(__xludf.DUMMYFUNCTION("""COMPUTED_VALUE"""),"Азота диоксид,Азота оксид (IV) в перерарасчете на (NO2),Акрилонитрил,Акролеин,Аммиак,Ангидрид сернистый,Ангидрид хромовый,Ацетон,Бензол,Бутилацетат,Водорода хлорид,Водорода цианид,Дибутилфталат,Эпихлоргидрин,Этилацетат ,Кислота азотная,Кислота уксусная,Ки"&amp;"слота серная,Ксилол (мета-,орто-, пара-),Медь,Масла минеральные нефтяные,Натрия хлорид,Никель, никеля оксиды, сульфиды и смеси соединений никеля (файнштейн, никелевый концентрат и агломерат, оборотная пыль очистных устройств (по Ni)
,Озон,Сероводород,Свин"&amp;"ец и его неорганические соединения (по свинцу),Спирт этиловий,Стирол,Толуол,Фенол,Формальдегид,Фенолформальдегидные смолы по фенолу,Фенолформальдегидные смолы формальдегиду,Фенопласты,Хлор,Цинка оксид,Щелочи едкие (растворы в перерасчете на NaOH),Марганец"&amp;"ь в сварочном аэрозоле: (до 20% и 20-30%),Железный агломерат,Корунд белый,Кремния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кристалли"&amp;"ческий при содержании в пыле от 10 до 70 % (гранит, шамот, слюда-сирец, углепородная пыль и др.),Кремния карбид (карборунд).,Зерновая,Мучная, древесная и др. (с примесью диоксида кремния меньше 2 %),Лубяная, хлопчато-бумажная, хлопковая, льняная, шерстяна"&amp;"я,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"&amp;"них асбеста больше 10 %,Асбестопородные пыли при содержании в них асбеста до 10 %,Искусственные минеральные волокна силикатные и алюмосиликатные стеклообразной структуры,Цемент, оливин, апатит, форстерит, глина, шамот каолиновый,Коксы каменноугольный, пек"&amp;"овый,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10%,Сажи черные промышленные с содержанием бензапирена не более 35 мг на"&amp;" 1 кг")</f>
        <v>Азота диоксид,Азота оксид (IV) в перерарасчете на (NO2),Акрилонитрил,Акролеин,Аммиак,Ангидрид сернистый,Ангидрид хромовый,Ацетон,Бензол,Бутилацетат,Водорода хлорид,Водорода цианид,Дибутилфталат,Эпихлоргидрин,Этилацетат ,Кислота азотная,Кислота уксусная,Кислота серная,Ксилол (мета-,орто-, пара-),Медь,Масла минеральные нефтяные,Натрия хлорид,Никель, никеля оксиды, сульфиды и смеси соединений никеля (файнштейн, никелевый концентрат и агломерат, оборотная пыль очистных устройств (по Ni)
,Озон,Сероводород,Свинец и его неорганические соединения (по свинцу),Спирт этиловий,Стирол,Толуол,Фенол,Формальдегид,Фенолформальдегидные смолы по фенолу,Фенолформальдегидные смолы формальдегиду,Фенопласты,Хлор,Цинка оксид,Щелочи едкие (растворы в перерасчете на NaOH),Марганець в сварочном аэрозоле: (до 20% и 20-30%),Железный агломерат,Корунд белый,Кремния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кристаллический при содержании в пыле от 10 до 70 % (гранит, шамот, слюда-сирец, углепородная пыль и др.),Кремния карбид (карборунд).,Зерновая,Мучная,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10 %,Искусственные минеральные волокна силикатные и алюмосиликатные стеклообразной структуры,Цемент, оливин, апатит, форстерит, глина, шамот каолиновый,Коксы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10%,Сажи черные промышленные с содержанием бензапирена не более 35 мг на 1 кг</v>
      </c>
      <c r="I107" s="17" t="str">
        <f>IFERROR(__xludf.DUMMYFUNCTION("""COMPUTED_VALUE"""),"")</f>
        <v/>
      </c>
      <c r="J107" s="17" t="str">
        <f>IFERROR(__xludf.DUMMYFUNCTION("""COMPUTED_VALUE"""),"Важкість праці,Напруженість праці")</f>
        <v>Важкість праці,Напруженість праці</v>
      </c>
      <c r="K107" s="18">
        <f>IFERROR(__xludf.DUMMYFUNCTION("""COMPUTED_VALUE"""),43528.0)</f>
        <v>43528</v>
      </c>
      <c r="L107" s="18" t="str">
        <f>IFERROR(__xludf.DUMMYFUNCTION("""COMPUTED_VALUE"""),"")</f>
        <v/>
      </c>
    </row>
    <row r="108">
      <c r="A108" s="11">
        <f t="shared" si="1"/>
        <v>105</v>
      </c>
      <c r="B108" s="16" t="str">
        <f>IFERROR(__xludf.DUMMYFUNCTION("""COMPUTED_VALUE"""),"ВП Волочиський машинобудівний завод            ПАТ ""Мотор Січ""")</f>
        <v>ВП Волочиський машинобудівний завод            ПАТ "Мотор Січ"</v>
      </c>
      <c r="C108" s="16" t="str">
        <f>IFERROR(__xludf.DUMMYFUNCTION("""COMPUTED_VALUE"""),"Хмельницька")</f>
        <v>Хмельницька</v>
      </c>
      <c r="D108" s="16" t="str">
        <f>IFERROR(__xludf.DUMMYFUNCTION("""COMPUTED_VALUE"""),"Волочиськ")</f>
        <v>Волочиськ</v>
      </c>
      <c r="E108" s="16" t="str">
        <f>IFERROR(__xludf.DUMMYFUNCTION("""COMPUTED_VALUE"""),"вул. Незалежності, 1")</f>
        <v>вул. Незалежності, 1</v>
      </c>
      <c r="F108" s="17" t="str">
        <f>IFERROR(__xludf.DUMMYFUNCTION("""COMPUTED_VALUE"""),"03845-6-44-74        097-885-06-76     096-828-38-20")</f>
        <v>03845-6-44-74        097-885-06-76     096-828-38-20</v>
      </c>
      <c r="G108" s="17" t="str">
        <f>IFERROR(__xludf.DUMMYFUNCTION("""COMPUTED_VALUE"""),"Вібрація загальна та локальна,Шум,Мікроклімат,Освітлення,Атмосферний тиск")</f>
        <v>Вібрація загальна та локальна,Шум,Мікроклімат,Освітлення,Атмосферний тиск</v>
      </c>
      <c r="H108" s="17" t="str">
        <f>IFERROR(__xludf.DUMMYFUNCTION("""COMPUTED_VALUE"""),"Азота диоксид,Азота оксид (IV) в перерарасчете на (NO2),Аммиак,Ангидрид фосфорный,Ангидрид хромовый,Ацетон,Водорода хлорид,Водород фтористий (в пересчете на F),Вольфрам, вольфрама карбид и силицид,Электрокорунд, электрокорунд хромистый,Эпихлоргидрин,Кисло"&amp;"та серная,Кобальт и его неорганические соединения,Ксилол (мета-,орто-, пара-),Марганец,Медь,Масла минеральные нефтяные,Никель,Озон,Свинец и его неорганические соединения (по свинцу),Толуол,Углерода оксид,Формальдегид,Циклогексанон,Цинка оксид,Щелочи едкие"&amp;" (растворы в перерасчете на NaOH),Мучная,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от 2 до 10 %),Асбестоцемент неокрашенный и цветной,Иск"&amp;"усственные минеральные волокна силикатные и алюмосиликатные стеклообразной структуры,Цемент, оливин, апатит, форстерит, глина, шамот каолиновый,Коксы каменноугольный, пековый, нефтяной, сланцевый")</f>
        <v>Азота диоксид,Азота оксид (IV) в перерарасчете на (NO2),Аммиак,Ангидрид фосфорный,Ангидрид хромовый,Ацетон,Водорода хлорид,Водород фтористий (в пересчете на F),Вольфрам, вольфрама карбид и силицид,Электрокорунд, электрокорунд хромистый,Эпихлоргидрин,Кислота серная,Кобальт и его неорганические соединения,Ксилол (мета-,орто-, пара-),Марганец,Медь,Масла минеральные нефтяные,Никель,Озон,Свинец и его неорганические соединения (по свинцу),Толуол,Углерода оксид,Формальдегид,Циклогексанон,Цинка оксид,Щелочи едкие (растворы в перерасчете на NaOH),Мучная,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от 2 до 10 %),Асбестоцемент неокрашенный и цветной,Искусственные минеральные волокна силикатные и алюмосиликатные стеклообразной структуры,Цемент, оливин, апатит, форстерит, глина, шамот каолиновый,Коксы каменноугольный, пековый, нефтяной, сланцевый</v>
      </c>
      <c r="I108" s="17" t="str">
        <f>IFERROR(__xludf.DUMMYFUNCTION("""COMPUTED_VALUE"""),"")</f>
        <v/>
      </c>
      <c r="J108" s="17" t="str">
        <f>IFERROR(__xludf.DUMMYFUNCTION("""COMPUTED_VALUE"""),"Важкість праці,Напруженість праці")</f>
        <v>Важкість праці,Напруженість праці</v>
      </c>
      <c r="K108" s="18">
        <f>IFERROR(__xludf.DUMMYFUNCTION("""COMPUTED_VALUE"""),43529.0)</f>
        <v>43529</v>
      </c>
      <c r="L108" s="18" t="str">
        <f>IFERROR(__xludf.DUMMYFUNCTION("""COMPUTED_VALUE"""),"")</f>
        <v/>
      </c>
    </row>
    <row r="109">
      <c r="A109" s="11">
        <f t="shared" si="1"/>
        <v>106</v>
      </c>
      <c r="B109" s="16" t="str">
        <f>IFERROR(__xludf.DUMMYFUNCTION("""COMPUTED_VALUE"""),"ПрАТ ""Дніпровський коксохімічний завод""      санітарно-технічна лабораторія")</f>
        <v>ПрАТ "Дніпровський коксохімічний завод"      санітарно-технічна лабораторія</v>
      </c>
      <c r="C109" s="16" t="str">
        <f>IFERROR(__xludf.DUMMYFUNCTION("""COMPUTED_VALUE"""),"Дніпропетровська")</f>
        <v>Дніпропетровська</v>
      </c>
      <c r="D109" s="16" t="str">
        <f>IFERROR(__xludf.DUMMYFUNCTION("""COMPUTED_VALUE"""),"Кам'янське")</f>
        <v>Кам'янське</v>
      </c>
      <c r="E109" s="16" t="str">
        <f>IFERROR(__xludf.DUMMYFUNCTION("""COMPUTED_VALUE"""),"вул. Колеусівська, 1")</f>
        <v>вул. Колеусівська, 1</v>
      </c>
      <c r="F109" s="17" t="str">
        <f>IFERROR(__xludf.DUMMYFUNCTION("""COMPUTED_VALUE"""),"0569-56-79-88")</f>
        <v>0569-56-79-88</v>
      </c>
      <c r="G109" s="17" t="str">
        <f>IFERROR(__xludf.DUMMYFUNCTION("""COMPUTED_VALUE"""),"Вібрація загальна та локальна,Шум,Мікроклімат,Освітлення")</f>
        <v>Вібрація загальна та локальна,Шум,Мікроклімат,Освітлення</v>
      </c>
      <c r="H109" s="17" t="str">
        <f>IFERROR(__xludf.DUMMYFUNCTION("""COMPUTED_VALUE"""),"Азота диоксид,Аммиак,Ангидрид сернистый,Аценафтен,Ацетон,Бензол,Водорода цианид,Кислота серная,Ксилол (мета-,орто-, пара-),Моноэтаноламин,1-Метилнафталин, 2-Метилнафталин,Нафталин,Пиридин,Сера элементарная,Сероводород,Сероуглерод,Сульфоаммиачное удобрение"&amp;",Толуол,Углерода оксид,Фенол,Хинолин,Хлорбензол,Марганець в сварочном аэрозоле: (до 20% и 20-30%),Кремния диоксид аморфный в виде аэрозоля конденсации при содержании меньше 10 %,Кремния диоксид кристаллический при содержании в пыле от 10 до 70 % (гранит, "&amp;"шамот,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др.),Мучная, древесная и др. (с примесью диоксида кремния меньше 2 %),Коксы каменноугольны"&amp;"й, пековый, нефтяной, сланцевый,Другие ископаемые угли и углеродные пыли с содержанием свободного диоксида кремния до 5%, от 5% до 10%")</f>
        <v>Азота диоксид,Аммиак,Ангидрид сернистый,Аценафтен,Ацетон,Бензол,Водорода цианид,Кислота серная,Ксилол (мета-,орто-, пара-),Моноэтаноламин,1-Метилнафталин, 2-Метилнафталин,Нафталин,Пиридин,Сера элементарная,Сероводород,Сероуглерод,Сульфоаммиачное удобрение,Толуол,Углерода оксид,Фенол,Хинолин,Хлорбензол,Марганець в сварочном аэрозоле: (до 20% и 20-30%),Кремния диоксид аморфный в виде аэрозоля конденсации при содержании меньше 10 %,Кремния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др.),Мучная, древесная и др. (с примесью диоксида кремния меньше 2 %),Коксы каменноугольный, пековый, нефтяной, сланцевый,Другие ископаемые угли и углеродные пыли с содержанием свободного диоксида кремния до 5%, от 5% до 10%</v>
      </c>
      <c r="I109" s="17" t="str">
        <f>IFERROR(__xludf.DUMMYFUNCTION("""COMPUTED_VALUE"""),"")</f>
        <v/>
      </c>
      <c r="J109" s="17" t="str">
        <f>IFERROR(__xludf.DUMMYFUNCTION("""COMPUTED_VALUE"""),"")</f>
        <v/>
      </c>
      <c r="K109" s="18">
        <f>IFERROR(__xludf.DUMMYFUNCTION("""COMPUTED_VALUE"""),43529.0)</f>
        <v>43529</v>
      </c>
      <c r="L109" s="18" t="str">
        <f>IFERROR(__xludf.DUMMYFUNCTION("""COMPUTED_VALUE"""),"")</f>
        <v/>
      </c>
    </row>
    <row r="110">
      <c r="A110" s="11">
        <f t="shared" si="1"/>
        <v>107</v>
      </c>
      <c r="B110" s="16" t="str">
        <f>IFERROR(__xludf.DUMMYFUNCTION("""COMPUTED_VALUE"""),"ПрАТ ""Миколаївський експерно-технічний центр""")</f>
        <v>ПрАТ "Миколаївський експерно-технічний центр"</v>
      </c>
      <c r="C110" s="16" t="str">
        <f>IFERROR(__xludf.DUMMYFUNCTION("""COMPUTED_VALUE"""),"Миколаївська")</f>
        <v>Миколаївська</v>
      </c>
      <c r="D110" s="16" t="str">
        <f>IFERROR(__xludf.DUMMYFUNCTION("""COMPUTED_VALUE"""),"Миколаїв")</f>
        <v>Миколаїв</v>
      </c>
      <c r="E110" s="16" t="str">
        <f>IFERROR(__xludf.DUMMYFUNCTION("""COMPUTED_VALUE"""),"вул. Радісна, 13")</f>
        <v>вул. Радісна, 13</v>
      </c>
      <c r="F110" s="17" t="str">
        <f>IFERROR(__xludf.DUMMYFUNCTION("""COMPUTED_VALUE"""),"0512-47-89-61        097-941-27-51     073-425-44-53")</f>
        <v>0512-47-89-61        097-941-27-51     073-425-44-53</v>
      </c>
      <c r="G110" s="17" t="str">
        <f>IFERROR(__xludf.DUMMYFUNCTION("""COMPUTED_VALUE"""),"Вібрація загальна та локальна,Шум,Ультразвук,Інфразвук,Іонізуюче випромінювання,Мікроклімат,Освітлення,Атмосферний тиск")</f>
        <v>Вібрація загальна та локальна,Шум,Ультразвук,Інфразвук,Іонізуюче випромінювання,Мікроклімат,Освітлення,Атмосферний тиск</v>
      </c>
      <c r="H110" s="17" t="str">
        <f>IFERROR(__xludf.DUMMYFUNCTION("""COMPUTED_VALUE"""),"Азота диоксид,Азота оксид (IV) в перерарасчете на (NO2),Акролеин,Алюминий и його сплавы,Аммиак,Ангидрид сернистый,Ангидрид хромовый,Бутилацетат,Водорода хлорид,Водород фосфористый (фосфин),Электрокорунд, электрокорунд хромистый,Эпихлоргидрин,Этилацетат ,К"&amp;"ислота уксусная,Кислота серная,Медь,Масла минеральные нефтяные,Никель,Озон,Ртуть,Сероводород,Свинец и его неорганические соединения (по свинцу),Спирт метиловий,Стирол,Титан и его диоксид,Углерода оксид,Формальдегид,Фенолформальдегидные смолы формальдегиду"&amp;",Хлор,Хрома оксид (по Cr+3),Цинка оксид,Щелочи едкие (растворы в перерасчете на NaOH),Марганець в сварочном аэрозоле: (до 20% и 20-30%),Алюминия оксид с примесью свободного диоксида кремния до 15% и оксида железа до 10% ( в виде аэрозоля конденсации),Алюм"&amp;"иния оксид в виде аэрозоля дезинтеграции (глинозем, электрокорунд, монокорунд),Известняк,Корунд белый,Кремния диоксид аморфный в виде аэрозоля дезинтеграции (диатомит, кварцевое стекло, плавленый кварц, трепел);,Кремния карбид (карборунд).,Полипропилен,Зе"&amp;"рновая,Мучная,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10%),Асбест природный и исскуственный, смешанные асбестопородные пыли при с"&amp;"одержании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,Искусственные мине"&amp;"ральные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сланцевый,Алмазы природные и искусственные,Алма"&amp;"з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f>
        <v>Азота диоксид,Азота оксид (IV) в перерарасчете на (NO2),Акролеин,Алюминий и його сплавы,Аммиак,Ангидрид сернистый,Ангидрид хромовый,Бутилацетат,Водорода хлорид,Водород фосфористый (фосфин),Электрокорунд, электрокорунд хромистый,Эпихлоргидрин,Этилацетат ,Кислота уксусная,Кислота серная,Медь,Масла минеральные нефтяные,Никель,Озон,Ртуть,Сероводород,Свинец и его неорганические соединения (по свинцу),Спирт метиловий,Стирол,Титан и его диоксид,Углерода оксид,Формальдегид,Фенолформальдегидные смолы формальдегиду,Хлор,Хрома оксид (по Cr+3),Цинка оксид,Щелочи едкие (растворы в перерасчете на NaOH),Марганець в сварочном аэрозоле: (до 20% и 20-30%),Алюминия оксид с примесью свободного диоксида кремния до 15% и оксида железа до 10% ( в виде аэрозоля конденсации),Алюминия оксид в виде аэрозоля дезинтеграции (глинозем, электрокорунд, монокорунд),Известняк,Корунд белый,Кремния диоксид аморфный в виде аэрозоля дезинтеграции (диатомит, кварцевое стекло, плавленый кварц, трепел);,Кремния карбид (карборунд).,Полипропилен,Зерновая,Мучная,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сланцевый,Алмазы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v>
      </c>
      <c r="I110" s="17" t="str">
        <f>IFERROR(__xludf.DUMMYFUNCTION("""COMPUTED_VALUE"""),"")</f>
        <v/>
      </c>
      <c r="J110" s="17" t="str">
        <f>IFERROR(__xludf.DUMMYFUNCTION("""COMPUTED_VALUE"""),"Важкість праці,Напруженість праці")</f>
        <v>Важкість праці,Напруженість праці</v>
      </c>
      <c r="K110" s="18">
        <f>IFERROR(__xludf.DUMMYFUNCTION("""COMPUTED_VALUE"""),43529.0)</f>
        <v>43529</v>
      </c>
      <c r="L110" s="18" t="str">
        <f>IFERROR(__xludf.DUMMYFUNCTION("""COMPUTED_VALUE"""),"")</f>
        <v/>
      </c>
    </row>
    <row r="111">
      <c r="A111" s="11">
        <f t="shared" si="1"/>
        <v>108</v>
      </c>
      <c r="B111" s="16" t="str">
        <f>IFERROR(__xludf.DUMMYFUNCTION("""COMPUTED_VALUE"""),"ДУ ""Закарпатський обласний лабораторний центр МОЗ України""")</f>
        <v>ДУ "Закарпатський обласний лабораторний центр МОЗ України"</v>
      </c>
      <c r="C111" s="16" t="str">
        <f>IFERROR(__xludf.DUMMYFUNCTION("""COMPUTED_VALUE"""),"Закарпатська")</f>
        <v>Закарпатська</v>
      </c>
      <c r="D111" s="16" t="str">
        <f>IFERROR(__xludf.DUMMYFUNCTION("""COMPUTED_VALUE"""),"Ужгород")</f>
        <v>Ужгород</v>
      </c>
      <c r="E111" s="16" t="str">
        <f>IFERROR(__xludf.DUMMYFUNCTION("""COMPUTED_VALUE"""),"вул. Собранецька, 96")</f>
        <v>вул. Собранецька, 96</v>
      </c>
      <c r="F111" s="17" t="str">
        <f>IFERROR(__xludf.DUMMYFUNCTION("""COMPUTED_VALUE"""),"0312-64-28-77")</f>
        <v>0312-64-28-77</v>
      </c>
      <c r="G111" s="17" t="str">
        <f>IFERROR(__xludf.DUMMYFUNCTION("""COMPUTED_VALUE"""),"Вібрація загальна та локальна,Шум,Неіонізуюче випромінювання,Іонізуюче випромінювання,Мікроклімат,Освітлення")</f>
        <v>Вібрація загальна та локальна,Шум,Неіонізуюче випромінювання,Іонізуюче випромінювання,Мікроклімат,Освітлення</v>
      </c>
      <c r="H111" s="17" t="str">
        <f>IFERROR(__xludf.DUMMYFUNCTION("""COMPUTED_VALUE"""),"Азота диоксид,Азота оксид (IV) в перерарасчете на (NO2),Аммиак,Ангидрид сернистый,Ангидрид фосфорный,Ангидрид хромовый,Ацетон,Бензол,Бутилацетат,Водорода хлорид,Дихлорэтан,Электрокорунд, электрокорунд хромистый,Этилацетат ,Капрон,Кислота уксусная,Кислота "&amp;"серная,Лавсан,Ксилол (мета-,орто-, пара-),Медь,Масла минеральные нефтяные,Никеля соли в виде гидроаэрозоля (по Ni),Озон,Ртуть,Сероводород,Свинец и его неорганические соединения (по свинцу),Спирт этиловий,Спирт метиловий,Титан и его диоксид,Толуол,Углерода"&amp;" оксид,Фенол,Формальдегид,Хлор,Хрома оксид (по Cr+3),Щелочи едкие (растворы в перерасчете на NaOH),Алюминия оксид в виде аэрозоля дезинтеграции (глинозем, электрокорунд, монокорунд),Марганець в сварочном аэрозоле: (до 20% и 20-30%),Железный агломерат,Крем"&amp;"ния диоксид кристаллический при содержании в пыле от 10 до 70 % (гранит, шамот, слюда-сирец, углепородная пыль и др.),Зерновая,Мучная, древесная и др. (с примесью диоксида кремния меньше 2 %),Лубяная, хлопчато-бумажная, хлопковая, льняная, шерстяная, пухо"&amp;"вая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10 %),Асбестопородные пыли при содержании в них асбеста до 10 %,Силикаты стеклообразные вулкани"&amp;"ческого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"&amp;"шамот каолиновый,Сажи черные промышленные с содержанием бензапирена не более 35 мг на 1 кг")</f>
        <v>Азота диоксид,Азота оксид (IV) в перерарасчете на (NO2),Аммиак,Ангидрид сернистый,Ангидрид фосфорный,Ангидрид хромовый,Ацетон,Бензол,Бутилацетат,Водорода хлорид,Дихлорэтан,Электрокорунд, электрокорунд хромистый,Этилацетат ,Капрон,Кислота уксусная,Кислота серная,Лавсан,Ксилол (мета-,орто-, пара-),Медь,Масла минеральные нефтяные,Никеля соли в виде гидроаэрозоля (по Ni),Озон,Ртуть,Сероводород,Свинец и его неорганические соединения (по свинцу),Спирт этиловий,Спирт метиловий,Титан и его диоксид,Толуол,Углерода оксид,Фенол,Формальдегид,Хлор,Хрома оксид (по Cr+3),Щелочи едкие (растворы в перерасчете на NaOH),Алюминия оксид в виде аэрозоля дезинтеграции (глинозем, электрокорунд, монокорунд),Марганець в сварочном аэрозоле: (до 20% и 20-30%),Железный агломерат,Кремния диоксид кристаллический при содержании в пыле от 10 до 70 % (гранит, шамот, слюда-сирец, углепородная пыль и др.),Зерновая,Мучная,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10 %),Асбестопородные пыли при содержании в них асбеста до 10 %,Силикаты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каолиновый,Сажи черные промышленные с содержанием бензапирена не более 35 мг на 1 кг</v>
      </c>
      <c r="I111" s="17" t="str">
        <f>IFERROR(__xludf.DUMMYFUNCTION("""COMPUTED_VALUE"""),"")</f>
        <v/>
      </c>
      <c r="J111" s="17" t="str">
        <f>IFERROR(__xludf.DUMMYFUNCTION("""COMPUTED_VALUE"""),"Важкість праці,Напруженість праці")</f>
        <v>Важкість праці,Напруженість праці</v>
      </c>
      <c r="K111" s="18">
        <f>IFERROR(__xludf.DUMMYFUNCTION("""COMPUTED_VALUE"""),43535.0)</f>
        <v>43535</v>
      </c>
      <c r="L111" s="18" t="str">
        <f>IFERROR(__xludf.DUMMYFUNCTION("""COMPUTED_VALUE"""),"")</f>
        <v/>
      </c>
    </row>
    <row r="112">
      <c r="A112" s="11">
        <f t="shared" si="1"/>
        <v>109</v>
      </c>
      <c r="B112" s="16" t="str">
        <f>IFERROR(__xludf.DUMMYFUNCTION("""COMPUTED_VALUE"""),"ТОВ ""Спільне українсько-німецьке підприємство ""Товариство технічного нагляду ДІЕКС""")</f>
        <v>ТОВ "Спільне українсько-німецьке підприємство "Товариство технічного нагляду ДІЕКС"</v>
      </c>
      <c r="C112" s="16" t="str">
        <f>IFERROR(__xludf.DUMMYFUNCTION("""COMPUTED_VALUE"""),"Дніпропетровська")</f>
        <v>Дніпропетровська</v>
      </c>
      <c r="D112" s="16" t="str">
        <f>IFERROR(__xludf.DUMMYFUNCTION("""COMPUTED_VALUE"""),"Дніпро")</f>
        <v>Дніпро</v>
      </c>
      <c r="E112" s="16" t="str">
        <f>IFERROR(__xludf.DUMMYFUNCTION("""COMPUTED_VALUE"""),"пров. Джинчарадзе, 8")</f>
        <v>пров. Джинчарадзе, 8</v>
      </c>
      <c r="F112" s="17" t="str">
        <f>IFERROR(__xludf.DUMMYFUNCTION("""COMPUTED_VALUE"""),"0562-36-87-03        0562-36-87-04")</f>
        <v>0562-36-87-03        0562-36-87-04</v>
      </c>
      <c r="G112" s="17" t="str">
        <f>IFERROR(__xludf.DUMMYFUNCTION("""COMPUTED_VALUE"""),"Вібрація загальна та локальна,Шум,Ультразвук,Інфразвук,Неіонізуюче випромінювання,Мікроклімат,Освітлення,Атмосферний тиск")</f>
        <v>Вібрація загальна та локальна,Шум,Ультразвук,Інфразвук,Неіонізуюче випромінювання,Мікроклімат,Освітлення,Атмосферний тиск</v>
      </c>
      <c r="H112" s="17" t="str">
        <f>IFERROR(__xludf.DUMMYFUNCTION("""COMPUTED_VALUE"""),"")</f>
        <v/>
      </c>
      <c r="I112" s="17" t="str">
        <f>IFERROR(__xludf.DUMMYFUNCTION("""COMPUTED_VALUE"""),"")</f>
        <v/>
      </c>
      <c r="J112" s="17" t="str">
        <f>IFERROR(__xludf.DUMMYFUNCTION("""COMPUTED_VALUE"""),"Важкість праці,Напруженість праці")</f>
        <v>Важкість праці,Напруженість праці</v>
      </c>
      <c r="K112" s="18">
        <f>IFERROR(__xludf.DUMMYFUNCTION("""COMPUTED_VALUE"""),43535.0)</f>
        <v>43535</v>
      </c>
      <c r="L112" s="18" t="str">
        <f>IFERROR(__xludf.DUMMYFUNCTION("""COMPUTED_VALUE"""),"")</f>
        <v/>
      </c>
    </row>
    <row r="113">
      <c r="A113" s="11">
        <f t="shared" si="1"/>
        <v>110</v>
      </c>
      <c r="B113" s="16" t="str">
        <f>IFERROR(__xludf.DUMMYFUNCTION("""COMPUTED_VALUE"""),"ТзОВ ""Моноліт-Еко""")</f>
        <v>ТзОВ "Моноліт-Еко"</v>
      </c>
      <c r="C113" s="16" t="str">
        <f>IFERROR(__xludf.DUMMYFUNCTION("""COMPUTED_VALUE"""),"Львівська")</f>
        <v>Львівська</v>
      </c>
      <c r="D113" s="16" t="str">
        <f>IFERROR(__xludf.DUMMYFUNCTION("""COMPUTED_VALUE"""),"Львів")</f>
        <v>Львів</v>
      </c>
      <c r="E113" s="16" t="str">
        <f>IFERROR(__xludf.DUMMYFUNCTION("""COMPUTED_VALUE"""),"вул. Тернопільська. 9")</f>
        <v>вул. Тернопільська. 9</v>
      </c>
      <c r="F113" s="17" t="str">
        <f>IFERROR(__xludf.DUMMYFUNCTION("""COMPUTED_VALUE"""),"050-33-77-833       032-227-63-34")</f>
        <v>050-33-77-833       032-227-63-34</v>
      </c>
      <c r="G113" s="17" t="str">
        <f>IFERROR(__xludf.DUMMYFUNCTION("""COMPUTED_VALUE"""),"Вібрація загальна та локальна,Шум,Інфразвук,Неіонізуюче випромінювання,Мікроклімат,Освітлення,Атмосферний тиск")</f>
        <v>Вібрація загальна та локальна,Шум,Інфразвук,Неіонізуюче випромінювання,Мікроклімат,Освітлення,Атмосферний тиск</v>
      </c>
      <c r="H113" s="17" t="str">
        <f>IFERROR(__xludf.DUMMYFUNCTION("""COMPUTED_VALUE"""),"Акролеин,Амилацетат,Аммиак,Ангидрид сернистый,Ангидрид фосфорный,Ангидрид хромовый,Ацетон,Ацетальдегид,Бензин,Бензол,Бутилацетат,Бутилметакрилат,Водорода хлорид,Водорода цианид,Водород фтористий (в пересчете на F),Зола горючих сланцев,Электрокорунд, элект"&amp;"рокорунд хромистый,Эпихлоргидрин,Этилцеллозольв (этиловый эфир этиленгликоля),Этилацетат ,Кислота муравьиная,Кислота уксусная,Керамика,Кислота серная,Ксилол (мета-,орто-, пара-),Марганец,Медь,Марганца оксиды (в пересчете на MnO2) аэрозоль дезинтеграции,Ма"&amp;"рганца оксиды (в пересчете на MnO2) аэрозоль конденсации,Масла минеральные нефтяные,Метилметакрилат,Молибден,Натрия карбонат,Никель,Никеля соли в виде гидроаэрозоля (по Ni),Озон,Ртуть,Сероводород,Свинец и его неорганические соединения (по свинцу),Сольвент"&amp;"-нафта,Синтетические моющие средства „Лотос”,”Ера”,”Ока” ,Спирт н-бутиловый, бутиловый вторичный и третичный
,Спирт этиловий,Спирт метиловий,Спирт изопропиловый,Стирол,Сурьма,Тетраэтилсвинец,Трихлорэтилен,Толуол,Уайт-спирит (в пересчете на С),Углеводороды"&amp;" алифатические предельные,Углерода оксид,Углерод четыреххлористый,Фенол,Формальдегид,Фенопласты,Фторопласт-4,Хлор,Хрома оксид (по Cr+3),Хрома оксид (по Cr+6),Цирконий,Цинк,Щелочи едкие (растворы в перерасчете на NaOH),Алюминия оксид в виде аэрозоля дезинт"&amp;"еграции (глинозем, электрокорунд, монокорунд),Аммофос+ (смесь моно- и диаммоний фосфатов),Известняк,Корунд белый,Кремния диоксид аморфный в виде аэрозоля конденсации при содержании: больше 60 %,Кремния диоксид аморфный в виде аэрозоля конденсации при соде"&amp;"ржании 60-10 %,Кремния диоксид аморфный в виде аэрозоля конденсации при содержании меньше 10 %,Кремния диоксид аморфный в виде аэрозоля дезинтеграции (диатомит, кварцевое стекло, плавленый кварц, трепел);,Кремния диоксид кристаллический (кварц, кристобели"&amp;"т,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1"&amp;"0 % (горючие кукерситные сланцы, медно сульфидные руды и др.),Кремния карбид (карборунд).,Поливинилхлорид,Полиэтилен,Чугун в смесе с електрокорундом до 20%,Шамотнографитовые огнеупоры,Зерновая,Мучная, древесная и др. (с примесью диоксида кремния меньше 2 "&amp;"%),Лубяная,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исск"&amp;"уственный, смешанные асбестопородные пыли при содержании в них асбеста больше 10 %,Асбестопородные пыли при содержании в них асбеста до 10 %,Искусственные минеральные волокна силикатные и алюмосиликатные стеклообразной структуры,Цемент, оливин, апатит, фо"&amp;"рстерит, глина, шамот каолиновый,Коксы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10%,Сажи черн"&amp;"ые промышленные с содержанием бензапирена не более 35 мг на 1 кг")</f>
        <v>Акролеин,Амилацетат,Аммиак,Ангидрид сернистый,Ангидрид фосфорный,Ангидрид хромовый,Ацетон,Ацетальдегид,Бензин,Бензол,Бутилацетат,Бутилметакрилат,Водорода хлорид,Водорода цианид,Водород фтористий (в пересчете на F),Зола горючих сланцев,Электрокорунд, электрокорунд хромистый,Эпихлоргидрин,Этилцеллозольв (этиловый эфир этиленгликоля),Этилацетат ,Кислота муравьиная,Кислота уксусная,Керамика,Кислота серная,Ксилол (мета-,орто-, пара-),Марганец,Медь,Марганца оксиды (в пересчете на MnO2) аэрозоль дезинтеграции,Марганца оксиды (в пересчете на MnO2) аэрозоль конденсации,Масла минеральные нефтяные,Метилметакрилат,Молибден,Натрия карбонат,Никель,Никеля соли в виде гидроаэрозоля (по Ni),Озон,Ртуть,Сероводород,Свинец и его неорганические соединения (по свинцу),Сольвент-нафта,Синтетические моющие средства „Лотос”,”Ера”,”Ока” ,Спирт н-бутиловый, бутиловый вторичный и третичный
,Спирт этиловий,Спирт метиловий,Спирт изопропиловый,Стирол,Сурьма,Тетраэтилсвинец,Трихлорэтилен,Толуол,Уайт-спирит (в пересчете на С),Углеводороды алифатические предельные,Углерода оксид,Углерод четыреххлористый,Фенол,Формальдегид,Фенопласты,Фторопласт-4,Хлор,Хрома оксид (по Cr+3),Хрома оксид (по Cr+6),Цирконий,Цинк,Щелочи едкие (растворы в перерасчете на NaOH),Алюминия оксид в виде аэрозоля дезинтеграции (глинозем, электрокорунд, монокорунд),Аммофос+ (смесь моно- и диаммоний фосфатов),Известняк,Корунд белый,Кремния диоксид аморфный в виде аэрозоля конденсации при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аморфный в виде аэрозоля дезинтеграции (диатомит, кварцевое стекло, плавленый кварц, трепел);,Кремния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др.),Кремния карбид (карборунд).,Поливинилхлорид,Полиэтилен,Чугун в смесе с електрокорундом до 20%,Шамотнографитовые огнеупоры,Зерновая,Мучная,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10 %,Искусственные минеральные волокна силикатные и алюмосиликатные стеклообразной структуры,Цемент, оливин, апатит, форстерит, глина, шамот каолиновый,Коксы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10%,Сажи черные промышленные с содержанием бензапирена не более 35 мг на 1 кг</v>
      </c>
      <c r="I113" s="17" t="str">
        <f>IFERROR(__xludf.DUMMYFUNCTION("""COMPUTED_VALUE"""),"")</f>
        <v/>
      </c>
      <c r="J113" s="17" t="str">
        <f>IFERROR(__xludf.DUMMYFUNCTION("""COMPUTED_VALUE"""),"Важкість праці,Напруженість праці")</f>
        <v>Важкість праці,Напруженість праці</v>
      </c>
      <c r="K113" s="18">
        <f>IFERROR(__xludf.DUMMYFUNCTION("""COMPUTED_VALUE"""),43536.0)</f>
        <v>43536</v>
      </c>
      <c r="L113" s="18" t="str">
        <f>IFERROR(__xludf.DUMMYFUNCTION("""COMPUTED_VALUE"""),"")</f>
        <v/>
      </c>
    </row>
    <row r="114">
      <c r="A114" s="11">
        <f t="shared" si="1"/>
        <v>111</v>
      </c>
      <c r="B114" s="16" t="str">
        <f>IFERROR(__xludf.DUMMYFUNCTION("""COMPUTED_VALUE"""),"ДП ""Конструкторське бюро ""Південне"" ім. М.К. Янгеля""")</f>
        <v>ДП "Конструкторське бюро "Південне" ім. М.К. Янгеля"</v>
      </c>
      <c r="C114" s="16" t="str">
        <f>IFERROR(__xludf.DUMMYFUNCTION("""COMPUTED_VALUE"""),"Дніпропетровська")</f>
        <v>Дніпропетровська</v>
      </c>
      <c r="D114" s="16" t="str">
        <f>IFERROR(__xludf.DUMMYFUNCTION("""COMPUTED_VALUE"""),"Дніпро")</f>
        <v>Дніпро</v>
      </c>
      <c r="E114" s="16" t="str">
        <f>IFERROR(__xludf.DUMMYFUNCTION("""COMPUTED_VALUE"""),"вул. Криворізька, 3")</f>
        <v>вул. Криворізька, 3</v>
      </c>
      <c r="F114" s="17" t="str">
        <f>IFERROR(__xludf.DUMMYFUNCTION("""COMPUTED_VALUE"""),"0562-38-47-00     0562-38-47-73")</f>
        <v>0562-38-47-00     0562-38-47-73</v>
      </c>
      <c r="G114" s="17" t="str">
        <f>IFERROR(__xludf.DUMMYFUNCTION("""COMPUTED_VALUE"""),"Вібрація загальна та локальна,Шум,Неіонізуюче випромінювання,Мікроклімат,Освітлення,Атмосферний тиск")</f>
        <v>Вібрація загальна та локальна,Шум,Неіонізуюче випромінювання,Мікроклімат,Освітлення,Атмосферний тиск</v>
      </c>
      <c r="H114" s="17" t="str">
        <f>IFERROR(__xludf.DUMMYFUNCTION("""COMPUTED_VALUE"""),"Азота диоксид,Азота оксид (IV) в перерарасчете на (NO2),Алюминий и його сплавы,Аммиак,Ацетон,Гидразин и его производные,Дифторхлорметан (фреон 22),Эпихлоргидрин,Кислота уксусная,Кислота серная,Никель, никеля оксиды, сульфиды и смеси соединений никеля (фай"&amp;"нштейн, никелевый концентрат и агломерат, оборотная пыль очистных устройств (по Ni)
,Озон,Свинец и его неорганические соединения (по свинцу),Тринитротолуол,Формальдегид,Хрома оксид (по Cr+3),Щелочи едкие (растворы в перерасчете на NaOH),Марганець в свароч"&amp;"ном аэрозоле: (до 20% и 20-30%),Корунд белый,Кремния диоксид аморфный в виде аэрозоля конденсации при содержании: больше 60 %,Кремния диоксид аморфный в виде аэрозоля конденсации при содержании 60-10 %,Кремния диоксид аморфный в виде аэрозоля конденсации "&amp;"при содержании меньше 10 %,Кремния диоксид аморфный в виде аэрозоля дезинтеграции (диатомит, кварцевое стекло, плавленый кварц, трепел);,Кремния диоксид кристаллический при содержании в пыле от 10 до 70 % (гранит, шамот, слюда-сирец, углепородная пыль и д"&amp;"р.),Мучная,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"&amp;"(с примесью диоксида кремния от 2 до 10 %),Асбестоцемент неокрашенный и цветной,Силикаты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минер"&amp;"альные волокна силикатные и алюмосиликатные стеклообразной структуры,Цемент, оливин, апатит, форстерит, глина, шамот каолиновый,Сажи черные промышленные с содержанием бензапирена не более 35 мг на 1 кг,Углеродные волокнистые материалы на основе гидрат цел"&amp;"люлозных волокон,Углеродные волокнистые материалы на основе гидрат полиакрилонитрильных волокон")</f>
        <v>Азота диоксид,Азота оксид (IV) в перерарасчете на (NO2),Алюминий и його сплавы,Аммиак,Ацетон,Гидразин и его производные,Дифторхлорметан (фреон 22),Эпихлоргидрин,Кислота уксусная,Кислота серная,Никель, никеля оксиды, сульфиды и смеси соединений никеля (файнштейн, никелевый концентрат и агломерат, оборотная пыль очистных устройств (по Ni)
,Озон,Свинец и его неорганические соединения (по свинцу),Тринитротолуол,Формальдегид,Хрома оксид (по Cr+3),Щелочи едкие (растворы в перерасчете на NaOH),Марганець в сварочном аэрозоле: (до 20% и 20-30%),Корунд белый,Кремния диоксид аморфный в виде аэрозоля конденсации при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аморфный в виде аэрозоля дезинтеграции (диатомит, кварцевое стекло, плавленый кварц, трепел);,Кремния диоксид кристаллический при содержании в пыле от 10 до 70 % (гранит, шамот, слюда-сирец, углепородная пыль и др.),Мучная,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10 %),Асбестоцемент неокрашенный и цветной,Силикаты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v>
      </c>
      <c r="I114" s="17" t="str">
        <f>IFERROR(__xludf.DUMMYFUNCTION("""COMPUTED_VALUE"""),"")</f>
        <v/>
      </c>
      <c r="J114" s="17" t="str">
        <f>IFERROR(__xludf.DUMMYFUNCTION("""COMPUTED_VALUE"""),"Важкість праці,Напруженість праці")</f>
        <v>Важкість праці,Напруженість праці</v>
      </c>
      <c r="K114" s="18">
        <f>IFERROR(__xludf.DUMMYFUNCTION("""COMPUTED_VALUE"""),43535.0)</f>
        <v>43535</v>
      </c>
      <c r="L114" s="18" t="str">
        <f>IFERROR(__xludf.DUMMYFUNCTION("""COMPUTED_VALUE"""),"")</f>
        <v/>
      </c>
    </row>
    <row r="115">
      <c r="A115" s="11">
        <f t="shared" si="1"/>
        <v>112</v>
      </c>
      <c r="B115" s="16" t="str">
        <f>IFERROR(__xludf.DUMMYFUNCTION("""COMPUTED_VALUE"""),"АТ ""Дніпропетровський стрілочний завод""")</f>
        <v>АТ "Дніпропетровський стрілочний завод"</v>
      </c>
      <c r="C115" s="16" t="str">
        <f>IFERROR(__xludf.DUMMYFUNCTION("""COMPUTED_VALUE"""),"Дніпропетровська")</f>
        <v>Дніпропетровська</v>
      </c>
      <c r="D115" s="16" t="str">
        <f>IFERROR(__xludf.DUMMYFUNCTION("""COMPUTED_VALUE"""),"Дніпро")</f>
        <v>Дніпро</v>
      </c>
      <c r="E115" s="16" t="str">
        <f>IFERROR(__xludf.DUMMYFUNCTION("""COMPUTED_VALUE"""),"вул. Любарського, 181")</f>
        <v>вул. Любарського, 181</v>
      </c>
      <c r="F115" s="17" t="str">
        <f>IFERROR(__xludf.DUMMYFUNCTION("""COMPUTED_VALUE"""),"056-790-21-29")</f>
        <v>056-790-21-29</v>
      </c>
      <c r="G115" s="17" t="str">
        <f>IFERROR(__xludf.DUMMYFUNCTION("""COMPUTED_VALUE"""),"Вібрація загальна та локальна,Шум,Мікроклімат,Освітлення,Атмосферний тиск")</f>
        <v>Вібрація загальна та локальна,Шум,Мікроклімат,Освітлення,Атмосферний тиск</v>
      </c>
      <c r="H115" s="17" t="str">
        <f>IFERROR(__xludf.DUMMYFUNCTION("""COMPUTED_VALUE"""),"Азота диоксид,Аммиак,Ангидрид масляный,Ангидрид сернистый,Ангидрид фосфорный,Ангидрид хромовый,Ацетон,Водорода хлорид,Кислота уксусная,Кислота серная,Медь,Марганца оксиды (в пересчете на MnO2) аэрозоль дезинтеграции,Марганца оксиды (в пересчете на MnO2) а"&amp;"эрозоль конденсации,Масла минеральные нефтяные,Молибдена растворимые соединения в виде пыли
,Никеля соли в виде гидроаэрозоля (по Ni),Озон,Ртуть,Свинец и его неорганические соединения (по свинцу),Титан и его диоксид,Углерода оксид,Фенол,Формальдегид,Хлор,"&amp;"Хроматы, бихроматы,Хрома оксид (по Cr+3),Щелочи едкие (растворы в перерасчете на NaOH),Марганець в сварочном аэрозоле: (до 20% и 20-30%),Кремния диоксид аморфный в виде аэрозоля конденсации при содержании меньше 10 %,Кремния диоксид кристаллический (кварц"&amp;",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пы"&amp;"ле от 2 до 10 % (горючие кукерситные сланцы, медно сульфидные руды и др.),Зерновая,Мучная,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более"&amp;"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со"&amp;"держании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кремния,И"&amp;"скусственные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сланцевый,Антрацит с содержани"&amp;"ем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боле"&amp;"е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f>
        <v>Азота диоксид,Аммиак,Ангидрид масляный,Ангидрид сернистый,Ангидрид фосфорный,Ангидрид хромовый,Ацетон,Водорода хлорид,Кислота уксусная,Кислота серная,Медь,Марганца оксиды (в пересчете на MnO2) аэрозоль дезинтеграции,Марганца оксиды (в пересчете на MnO2) аэрозоль конденсации,Масла минеральные нефтяные,Молибдена растворимые соединения в виде пыли
,Никеля соли в виде гидроаэрозоля (по Ni),Озон,Ртуть,Свинец и его неорганические соединения (по свинцу),Титан и его диоксид,Углерода оксид,Фенол,Формальдегид,Хлор,Хроматы, бихроматы,Хрома оксид (по Cr+3),Щелочи едкие (растворы в перерасчете на NaOH),Марганець в сварочном аэрозоле: (до 20% и 20-30%),Кремния диоксид аморфный в виде аэрозоля конденсации при содержании меньше 10 %,Кремния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v>
      </c>
      <c r="I115" s="17" t="str">
        <f>IFERROR(__xludf.DUMMYFUNCTION("""COMPUTED_VALUE"""),"")</f>
        <v/>
      </c>
      <c r="J115" s="17" t="str">
        <f>IFERROR(__xludf.DUMMYFUNCTION("""COMPUTED_VALUE"""),"Важкість праці,Напруженість праці")</f>
        <v>Важкість праці,Напруженість праці</v>
      </c>
      <c r="K115" s="18">
        <f>IFERROR(__xludf.DUMMYFUNCTION("""COMPUTED_VALUE"""),43535.0)</f>
        <v>43535</v>
      </c>
      <c r="L115" s="18" t="str">
        <f>IFERROR(__xludf.DUMMYFUNCTION("""COMPUTED_VALUE"""),"")</f>
        <v/>
      </c>
    </row>
    <row r="116">
      <c r="A116" s="11">
        <f t="shared" si="1"/>
        <v>113</v>
      </c>
      <c r="B116" s="16" t="str">
        <f>IFERROR(__xludf.DUMMYFUNCTION("""COMPUTED_VALUE"""),"ДП ""Завод ""Електроважмаш""")</f>
        <v>ДП "Завод "Електроважмаш"</v>
      </c>
      <c r="C116" s="16" t="str">
        <f>IFERROR(__xludf.DUMMYFUNCTION("""COMPUTED_VALUE"""),"Харківська")</f>
        <v>Харківська</v>
      </c>
      <c r="D116" s="16" t="str">
        <f>IFERROR(__xludf.DUMMYFUNCTION("""COMPUTED_VALUE"""),"Харків")</f>
        <v>Харків</v>
      </c>
      <c r="E116" s="16" t="str">
        <f>IFERROR(__xludf.DUMMYFUNCTION("""COMPUTED_VALUE"""),"пр. Московський, 299")</f>
        <v>пр. Московський, 299</v>
      </c>
      <c r="F116" s="17" t="str">
        <f>IFERROR(__xludf.DUMMYFUNCTION("""COMPUTED_VALUE"""),"057-727-50-61")</f>
        <v>057-727-50-61</v>
      </c>
      <c r="G116" s="17" t="str">
        <f>IFERROR(__xludf.DUMMYFUNCTION("""COMPUTED_VALUE"""),"Вібрація загальна та локальна,Шум,Мікроклімат,Освітлення,Атмосферний тиск")</f>
        <v>Вібрація загальна та локальна,Шум,Мікроклімат,Освітлення,Атмосферний тиск</v>
      </c>
      <c r="H116" s="17" t="str">
        <f>IFERROR(__xludf.DUMMYFUNCTION("""COMPUTED_VALUE"""),"Азота диоксид,Азота оксид (IV) в перерарасчете на (NO2),Акролеин,Алюминий и його сплавы,Аммиак,Ангидрид малеиновый,Ангидрид сернистый,Ангидрид фосфорный,Ангидрид хромовый,Анилин,Ацетон,Ацетальдегид,Бензин,Бензол,Бутилацетат,Ванадий и его соединения,Винила"&amp;"цетат,Винилтолуол,Водорода хлорид,Водорода цианид,Водород фтористий (в пересчете на F),Вольфрам, вольфрама карбид и силицид,Электрокорунд, электрокорунд хромистый,Эпихлоргидрин,Этилцеллозольв (этиловый эфир этиленгликоля),Этиленгликоль,Этилацетат ,Этилена"&amp;" оксид,Этилмеркаптан,Кадмий и его неорганические соединения,Кислота уксусная,Керосин,Кислота серная,Ксилол (мета-,орто-, пара-),Медь,Марганца оксиды (в пересчете на MnO2) аэрозоль дезинтеграции,Марганца оксиды (в пересчете на MnO2) аэрозоль конденсации,Ма"&amp;"сла минеральные нефтяные,Метилметакрилат,Молибдена растворимые соединения в виде пыли
,Молибдена растворимые соединения в виде аэрозоля конденсации,Никель, никеля оксиды, сульфиды и смеси соединений никеля (файнштейн, никелевый концентрат и агломерат, обо"&amp;"ротная пыль очистных устройств (по Ni)
,Озон,Ртуть,Сероводород,Свинец и его неорганические соединения (по свинцу),Сода кальцинированная,Стирол,Титан и его диоксид,Толуол,Уайт-спирит (в пересчете на С),Углеводороды алифатические предельные,Углерода оксид,У"&amp;"глерод четыреххлористый,Фенол,Формальдегид,Фенопласты,Фтористоводородной кислоты соли (по F):
 фториды натрия, калия, аммония, цинка, олова, серебра, лития и бария, криолит, гидрофторид аммония,Фтористоводородной кислоты соли (по F) фториды алюминия, магн"&amp;"ия, кальция, стронция, меди, хрома,Хлор,Хроматы, бихроматы,Хрома оксид (по Cr+3),Цирконий,Цинка оксид,Щелочи едкие (растворы в перерасчете на NaOH),Алюминия оксид в виде аэрозоля дезинтеграции (глинозем, электрокорунд, монокорунд),Алюминия оксид с примесь"&amp;"ю свободного диоксида кремния до 15% и оксида железа до 10% ( в виде аерозоля конденсации),Марганець в сварочном аэрозоле: (до 20% и 20-30%),Корунд белый,Кремния диоксид аморфный в виде аэрозоля конденсации при содержании 60-10 %,Кремния диоксид аморфный "&amp;"в виде аэрозоля конденсации при содержании меньше 10 %,Кремния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шам"&amp;"от,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др.),Кремния карбид (карборунд).,Чугун в смесе с електрокорундом до 20%,Шамотнографитовые огн"&amp;"еупоры,Зерновая,Мучная,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пу"&amp;"ховая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10 %,Асбестобакелит, асбесторезина,Силика"&amp;"ты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а"&amp;"патит, форстерит, глина, шамот каолиновый,Коксы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10%,"&amp;"Алмаз металлизированый,Сажи черные промышленные с содержанием бензапирена не более 35 мг на 1 кг")</f>
        <v>Азота диоксид,Азота оксид (IV) в перерарасчете на (NO2),Акролеин,Алюминий и його сплавы,Аммиак,Ангидрид малеиновый,Ангидрид сернистый,Ангидрид фосфорный,Ангидрид хромовый,Анилин,Ацетон,Ацетальдегид,Бензин,Бензол,Бутилацетат,Ванадий и его соединения,Винилацетат,Винилтолуол,Водорода хлорид,Водорода цианид,Водород фтористий (в пересчете на F),Вольфрам, вольфрама карбид и силицид,Электрокорунд, электрокорунд хромистый,Эпихлоргидрин,Этилцеллозольв (этиловый эфир этиленгликоля),Этиленгликоль,Этилацетат ,Этилена оксид,Этилмеркаптан,Кадмий и его неорганические соединения,Кислота уксусная,Керосин,Кислота серная,Ксилол (мета-,орто-, пара-),Медь,Марганца оксиды (в пересчете на MnO2) аэрозоль дезинтеграции,Марганца оксиды (в пересчете на MnO2) аэрозоль конденсации,Масла минеральные нефтяные,Метилметакрилат,Молибдена растворимые соединения в виде пыли
,Молибдена растворимые соединения в виде аэрозоля конденсации,Никель, никеля оксиды, сульфиды и смеси соединений никеля (файнштейн, никелевый концентрат и агломерат, оборотная пыль очистных устройств (по Ni)
,Озон,Ртуть,Сероводород,Свинец и его неорганические соединения (по свинцу),Сода кальцинированная,Стирол,Титан и его диоксид,Толуол,Уайт-спирит (в пересчете на С),Углеводороды алифатические предельные,Углерода оксид,Углерод четыреххлористый,Фенол,Формальдегид,Фенопласты,Фтористоводородной кислоты соли (по F):
 фториды натрия, калия, аммония, цинка, олова, серебра, лития и бария, криолит, гидрофторид аммония,Фтористоводородной кислоты соли (по F) фториды алюминия, магния, кальция, стронция, меди, хрома,Хлор,Хроматы, бихроматы,Хрома оксид (по Cr+3),Цирконий,Цинка оксид,Щелочи едкие (растворы в перерасчете на NaOH),Алюминия оксид в виде аэрозоля дезинтеграции (глинозем, электрокорунд, монокорунд),Алюминия оксид с примесью свободного диоксида кремния до 15% и оксида железа до 10% ( в виде аерозоля конденсации),Марганець в сварочном аэрозоле: (до 20% и 20-30%),Корунд белый,Кремния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др.),Кремния карбид (карборунд).,Чугун в смесе с електрокорундом до 20%,Шамотнографитовые огнеупоры,Зерновая,Мучная,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 металлизированый,Сажи черные промышленные с содержанием бензапирена не более 35 мг на 1 кг</v>
      </c>
      <c r="I116" s="17" t="str">
        <f>IFERROR(__xludf.DUMMYFUNCTION("""COMPUTED_VALUE"""),"")</f>
        <v/>
      </c>
      <c r="J116" s="17" t="str">
        <f>IFERROR(__xludf.DUMMYFUNCTION("""COMPUTED_VALUE"""),"Важкість праці,Напруженість праці")</f>
        <v>Важкість праці,Напруженість праці</v>
      </c>
      <c r="K116" s="18">
        <f>IFERROR(__xludf.DUMMYFUNCTION("""COMPUTED_VALUE"""),43537.0)</f>
        <v>43537</v>
      </c>
      <c r="L116" s="18" t="str">
        <f>IFERROR(__xludf.DUMMYFUNCTION("""COMPUTED_VALUE"""),"")</f>
        <v/>
      </c>
    </row>
    <row r="117">
      <c r="A117" s="11">
        <f t="shared" si="1"/>
        <v>114</v>
      </c>
      <c r="B117" s="16" t="str">
        <f>IFERROR(__xludf.DUMMYFUNCTION("""COMPUTED_VALUE"""),"ДП ""Вінницький експертно-технічний центр Держпраці""")</f>
        <v>ДП "Вінницький експертно-технічний центр Держпраці"</v>
      </c>
      <c r="C117" s="16" t="str">
        <f>IFERROR(__xludf.DUMMYFUNCTION("""COMPUTED_VALUE"""),"Вінницька")</f>
        <v>Вінницька</v>
      </c>
      <c r="D117" s="16" t="str">
        <f>IFERROR(__xludf.DUMMYFUNCTION("""COMPUTED_VALUE"""),"Вінниця")</f>
        <v>Вінниця</v>
      </c>
      <c r="E117" s="16" t="str">
        <f>IFERROR(__xludf.DUMMYFUNCTION("""COMPUTED_VALUE"""),"вул. Келецька, 51А, оф. 138")</f>
        <v>вул. Келецька, 51А, оф. 138</v>
      </c>
      <c r="F117" s="17" t="str">
        <f>IFERROR(__xludf.DUMMYFUNCTION("""COMPUTED_VALUE"""),"0432-55-28-46")</f>
        <v>0432-55-28-46</v>
      </c>
      <c r="G117" s="17" t="str">
        <f>IFERROR(__xludf.DUMMYFUNCTION("""COMPUTED_VALUE"""),"Вібрація загальна та локальна,Шум,Неіонізуюче випромінювання,Мікроклімат,Освітлення,Атмосферний тиск")</f>
        <v>Вібрація загальна та локальна,Шум,Неіонізуюче випромінювання,Мікроклімат,Освітлення,Атмосферний тиск</v>
      </c>
      <c r="H117" s="17" t="str">
        <f>IFERROR(__xludf.DUMMYFUNCTION("""COMPUTED_VALUE"""),"Азота диоксид,Аммиак,Ангидрид сернистый,Ангидрид хромовый,Ацетон,Ацетальдегид,Бензин,Бензол,Бутилацетат,Винилацетат,Водорода хлорид,Электрокорунд, электрокорунд хромистый,Эпихлоргидрин,Этилцеллозольв (этиловый эфир этиленгликоля),Этиленгликоль,Этилацетат "&amp;",Кислота уксусная,Кислота серная,Ксилол (мета-,орто-, пара-),Масла минеральные нефтяные,Натрия хлорид,Сероводород,Синтетические моющие средства „Лотос”,”Ера”,”Ока” ,Спирт н-бутиловый, бутиловый вторичный и третичный
,Спирт этиловий,Спирт метиловий,Спирт и"&amp;"зопропиловый,Стирол,Титан и его диоксид,Табак,Толуол,Уайт-спирит (в пересчете на С),Углеводороды алифатические предельные,Углерода оксид,Фенол,Формальдегид,Хлор,Целлюлоза,Щелочи едкие (растворы в перерасчете на NaOH),Известняк,Корунд белый,Кремния диоксид"&amp;"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кристалличес"&amp;"кий при содержании в пыле от 2 до 10 % (горючие кукерситные сланцы, медно сульфидные руды и др.),Кремния карбид (карборунд).,Зерновая,Мучная, древесная и др. (с примесью диоксида кремния меньше 2 %),Лубяная, хлопчато-бумажная, хлопковая, льняная, шерстяна"&amp;"я,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"&amp;"них асбеста больше 10 %,Асбестопородные пыли при содержании в них асбеста до 10 %,Асбестоцемент неокрашенный и цветной,Асбестобакелит, асбесторезина,Слюды, тальк, талькопородные пыли содержащие до 10% свободного диоксида кремния,Искусственные минеральные "&amp;"волокна силикатные и алюмосиликатные стеклообразной структуры,Цемент, оливин, апатит, форстерит, глина, шамот каолиновый,Коксы каменноугольный, пековый, нефтяной, сланцевый,Антрацит с содержанием свободного диоксида кремния до 5 %,Другие ископаемые угли и"&amp;"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f>
        <v>Азота диоксид,Аммиак,Ангидрид сернистый,Ангидрид хромовый,Ацетон,Ацетальдегид,Бензин,Бензол,Бутилацетат,Винилацетат,Водорода хлорид,Электрокорунд, электрокорунд хромистый,Эпихлоргидрин,Этилцеллозольв (этиловый эфир этиленгликоля),Этиленгликоль,Этилацетат ,Кислота уксусная,Кислота серная,Ксилол (мета-,орто-, пара-),Масла минеральные нефтяные,Натрия хлорид,Сероводород,Синтетические моющие средства „Лотос”,”Ера”,”Ока” ,Спирт н-бутиловый, бутиловый вторичный и третичный
,Спирт этиловий,Спирт метиловий,Спирт изопропиловый,Стирол,Титан и его диоксид,Табак,Толуол,Уайт-спирит (в пересчете на С),Углеводороды алифатические предельные,Углерода оксид,Фенол,Формальдегид,Хлор,Целлюлоза,Щелочи едкие (растворы в перерасчете на NaOH),Известняк,Корунд белый,Кремния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др.),Кремния карбид (карборунд).,Зерновая,Мучная,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v>
      </c>
      <c r="I117" s="17" t="str">
        <f>IFERROR(__xludf.DUMMYFUNCTION("""COMPUTED_VALUE"""),"")</f>
        <v/>
      </c>
      <c r="J117" s="17" t="str">
        <f>IFERROR(__xludf.DUMMYFUNCTION("""COMPUTED_VALUE"""),"Важкість праці,Напруженість праці")</f>
        <v>Важкість праці,Напруженість праці</v>
      </c>
      <c r="K117" s="18">
        <f>IFERROR(__xludf.DUMMYFUNCTION("""COMPUTED_VALUE"""),43537.0)</f>
        <v>43537</v>
      </c>
      <c r="L117" s="18" t="str">
        <f>IFERROR(__xludf.DUMMYFUNCTION("""COMPUTED_VALUE"""),"")</f>
        <v/>
      </c>
    </row>
    <row r="118">
      <c r="A118" s="11">
        <f t="shared" si="1"/>
        <v>115</v>
      </c>
      <c r="B118" s="16" t="str">
        <f>IFERROR(__xludf.DUMMYFUNCTION("""COMPUTED_VALUE"""),"ПАТ ""Одеський кабельний завод ""Одескабель""")</f>
        <v>ПАТ "Одеський кабельний завод "Одескабель"</v>
      </c>
      <c r="C118" s="16" t="str">
        <f>IFERROR(__xludf.DUMMYFUNCTION("""COMPUTED_VALUE"""),"Одеська")</f>
        <v>Одеська</v>
      </c>
      <c r="D118" s="16" t="str">
        <f>IFERROR(__xludf.DUMMYFUNCTION("""COMPUTED_VALUE"""),"Одеса")</f>
        <v>Одеса</v>
      </c>
      <c r="E118" s="16" t="str">
        <f>IFERROR(__xludf.DUMMYFUNCTION("""COMPUTED_VALUE"""),"Миколаївська дорога, 144")</f>
        <v>Миколаївська дорога, 144</v>
      </c>
      <c r="F118" s="17" t="str">
        <f>IFERROR(__xludf.DUMMYFUNCTION("""COMPUTED_VALUE"""),"048-716-16-12       048-716-16-92")</f>
        <v>048-716-16-12       048-716-16-92</v>
      </c>
      <c r="G118" s="17" t="str">
        <f>IFERROR(__xludf.DUMMYFUNCTION("""COMPUTED_VALUE"""),"Шум,Мікроклімат,Освітлення,Атмосферний тиск")</f>
        <v>Шум,Мікроклімат,Освітлення,Атмосферний тиск</v>
      </c>
      <c r="H118" s="17" t="str">
        <f>IFERROR(__xludf.DUMMYFUNCTION("""COMPUTED_VALUE"""),"")</f>
        <v/>
      </c>
      <c r="I118" s="17" t="str">
        <f>IFERROR(__xludf.DUMMYFUNCTION("""COMPUTED_VALUE"""),"")</f>
        <v/>
      </c>
      <c r="J118" s="17" t="str">
        <f>IFERROR(__xludf.DUMMYFUNCTION("""COMPUTED_VALUE"""),"Важкість праці,Напруженість праці")</f>
        <v>Важкість праці,Напруженість праці</v>
      </c>
      <c r="K118" s="18">
        <f>IFERROR(__xludf.DUMMYFUNCTION("""COMPUTED_VALUE"""),43542.0)</f>
        <v>43542</v>
      </c>
      <c r="L118" s="18" t="str">
        <f>IFERROR(__xludf.DUMMYFUNCTION("""COMPUTED_VALUE"""),"")</f>
        <v/>
      </c>
    </row>
    <row r="119">
      <c r="A119" s="11">
        <f t="shared" si="1"/>
        <v>116</v>
      </c>
      <c r="B119" s="16" t="str">
        <f>IFERROR(__xludf.DUMMYFUNCTION("""COMPUTED_VALUE"""),"Києво-Святошинський районний відділ лабораторних досліджень ДУ ""Київський обласний лабораторний центр МОЗ України""")</f>
        <v>Києво-Святошинський районний відділ лабораторних досліджень ДУ "Київський обласний лабораторний центр МОЗ України"</v>
      </c>
      <c r="C119" s="16" t="str">
        <f>IFERROR(__xludf.DUMMYFUNCTION("""COMPUTED_VALUE"""),"Київська")</f>
        <v>Київська</v>
      </c>
      <c r="D119" s="16" t="str">
        <f>IFERROR(__xludf.DUMMYFUNCTION("""COMPUTED_VALUE"""),"Боярка")</f>
        <v>Боярка</v>
      </c>
      <c r="E119" s="16" t="str">
        <f>IFERROR(__xludf.DUMMYFUNCTION("""COMPUTED_VALUE"""),"вул. Вокзальна, 2")</f>
        <v>вул. Вокзальна, 2</v>
      </c>
      <c r="F119" s="17" t="str">
        <f>IFERROR(__xludf.DUMMYFUNCTION("""COMPUTED_VALUE"""),"04598-47-581      ")</f>
        <v>04598-47-581      </v>
      </c>
      <c r="G119" s="17" t="str">
        <f>IFERROR(__xludf.DUMMYFUNCTION("""COMPUTED_VALUE"""),"Вібрація загальна та локальна,Шум,Неіонізуюче випромінювання,Мікроклімат,Освітлення,Атмосферний тиск")</f>
        <v>Вібрація загальна та локальна,Шум,Неіонізуюче випромінювання,Мікроклімат,Освітлення,Атмосферний тиск</v>
      </c>
      <c r="H119" s="17" t="str">
        <f>IFERROR(__xludf.DUMMYFUNCTION("""COMPUTED_VALUE"""),"")</f>
        <v/>
      </c>
      <c r="I119" s="17" t="str">
        <f>IFERROR(__xludf.DUMMYFUNCTION("""COMPUTED_VALUE"""),"")</f>
        <v/>
      </c>
      <c r="J119" s="17" t="str">
        <f>IFERROR(__xludf.DUMMYFUNCTION("""COMPUTED_VALUE"""),"Важкість праці,Напруженість праці")</f>
        <v>Важкість праці,Напруженість праці</v>
      </c>
      <c r="K119" s="18">
        <f>IFERROR(__xludf.DUMMYFUNCTION("""COMPUTED_VALUE"""),43542.0)</f>
        <v>43542</v>
      </c>
      <c r="L119" s="18" t="str">
        <f>IFERROR(__xludf.DUMMYFUNCTION("""COMPUTED_VALUE"""),"")</f>
        <v/>
      </c>
    </row>
    <row r="120">
      <c r="A120" s="11">
        <f t="shared" si="1"/>
        <v>117</v>
      </c>
      <c r="B120" s="16" t="str">
        <f>IFERROR(__xludf.DUMMYFUNCTION("""COMPUTED_VALUE"""),"Військова частина А0972 санітарно-гігієнічна лабораторія")</f>
        <v>Військова частина А0972 санітарно-гігієнічна лабораторія</v>
      </c>
      <c r="C120" s="16" t="str">
        <f>IFERROR(__xludf.DUMMYFUNCTION("""COMPUTED_VALUE"""),"Київська")</f>
        <v>Київська</v>
      </c>
      <c r="D120" s="16" t="str">
        <f>IFERROR(__xludf.DUMMYFUNCTION("""COMPUTED_VALUE"""),"Київ")</f>
        <v>Київ</v>
      </c>
      <c r="E120" s="16" t="str">
        <f>IFERROR(__xludf.DUMMYFUNCTION("""COMPUTED_VALUE"""),"вул. Госпітальна, 16")</f>
        <v>вул. Госпітальна, 16</v>
      </c>
      <c r="F120" s="17" t="str">
        <f>IFERROR(__xludf.DUMMYFUNCTION("""COMPUTED_VALUE"""),"044-529-29-52       044-529-73-18")</f>
        <v>044-529-29-52       044-529-73-18</v>
      </c>
      <c r="G120" s="17" t="str">
        <f>IFERROR(__xludf.DUMMYFUNCTION("""COMPUTED_VALUE"""),"Шум,Мікроклімат,Освітлення,Атмосферний тиск")</f>
        <v>Шум,Мікроклімат,Освітлення,Атмосферний тиск</v>
      </c>
      <c r="H120" s="17" t="str">
        <f>IFERROR(__xludf.DUMMYFUNCTION("""COMPUTED_VALUE"""),"Азота оксид (IV) в перерарасчете на (NO2),Аммиак,Ангидрид сернистый,Ацетон,Бензин,Водорода хлорид,Электрокорунд, электрокорунд хромистый,Этилацетат ,Кислота уксусная,Керосин,Кислота серная,Ксилол (мета-,орто-, пара-),Масла минеральные нефтяные,Озон,Серово"&amp;"дород,Свинец и его неорганические соединения (по свинцу),Сольвент-нафта,Синтетические моющие средства „Лотос”,”Ера”,”Ока” ,Тринитротолуол,Толуол,Уайт-спирит (в пересчете на С),Углеводороды алифатические предельные,Углерода оксид,Фенол,Формальдегид,Фенолфо"&amp;"рмальдегидные смолы по фенолу,Фенолформальдегидные смолы формальдегиду,Хлор,Щелочи едкие (растворы в перерасчете на NaOH),Марганець в сварочном аэрозоле: (до 20% и 20-30%),Железный агломерат,Корунд белый,Кремния карбид (карборунд).,Зерновая,Мучная, древес"&amp;"ная и др. (с примесью диоксида кремния меньше 2 %),Лубяная, хлопчато-бумажная, хлопковая, льняная, шерстяная, пуховая и др. (с примесью диоксида кремния более 10%),Асбест природный и исскуственный, смешанные асбестопородные пыли при содержании в них асбес"&amp;"та больше 10 %,Асбестопородные пыли при содержании в них асбеста до 10 %,Цемент, оливин, апатит, форстерит, глина, шамот каолиновый,Коксы каменноугольный, пековый, нефтяной, сланцевый,Антрацит с содержанием свободного диоксида кремния до 5 %,Сажи черные п"&amp;"ромышленные с содержанием бензапирена не более 35 мг на 1 кг")</f>
        <v>Азота оксид (IV) в перерарасчете на (NO2),Аммиак,Ангидрид сернистый,Ацетон,Бензин,Водорода хлорид,Электрокорунд, электрокорунд хромистый,Этилацетат ,Кислота уксусная,Керосин,Кислота серная,Ксилол (мета-,орто-, пара-),Масла минеральные нефтяные,Озон,Сероводород,Свинец и его неорганические соединения (по свинцу),Сольвент-нафта,Синтетические моющие средства „Лотос”,”Ера”,”Ока” ,Тринитротолуол,Толуол,Уайт-спирит (в пересчете на С),Углеводороды алифатические предельные,Углерода оксид,Фенол,Формальдегид,Фенолформальдегидные смолы по фенолу,Фенолформальдегидные смолы формальдегиду,Хлор,Щелочи едкие (растворы в перерасчете на NaOH),Марганець в сварочном аэрозоле: (до 20% и 20-30%),Железный агломерат,Корунд белый,Кремния карбид (карборунд).,Зерновая,Мучная,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10 %,Цемент, оливин, апатит, форстерит, глина, шамот каолиновый,Коксы каменноугольный, пековый, нефтяной, сланцевый,Антрацит с содержанием свободного диоксида кремния до 5 %,Сажи черные промышленные с содержанием бензапирена не более 35 мг на 1 кг</v>
      </c>
      <c r="I120" s="17" t="str">
        <f>IFERROR(__xludf.DUMMYFUNCTION("""COMPUTED_VALUE"""),"")</f>
        <v/>
      </c>
      <c r="J120" s="17" t="str">
        <f>IFERROR(__xludf.DUMMYFUNCTION("""COMPUTED_VALUE"""),"Важкість праці,Напруженість праці")</f>
        <v>Важкість праці,Напруженість праці</v>
      </c>
      <c r="K120" s="18">
        <f>IFERROR(__xludf.DUMMYFUNCTION("""COMPUTED_VALUE"""),43549.0)</f>
        <v>43549</v>
      </c>
      <c r="L120" s="18" t="str">
        <f>IFERROR(__xludf.DUMMYFUNCTION("""COMPUTED_VALUE"""),"")</f>
        <v/>
      </c>
    </row>
    <row r="121">
      <c r="A121" s="11">
        <f t="shared" si="1"/>
        <v>118</v>
      </c>
      <c r="B121" s="16" t="str">
        <f>IFERROR(__xludf.DUMMYFUNCTION("""COMPUTED_VALUE"""),"ДУ ""Херсонський обласний лабораторний центр МОЗ України""")</f>
        <v>ДУ "Херсонський обласний лабораторний центр МОЗ України"</v>
      </c>
      <c r="C121" s="16" t="str">
        <f>IFERROR(__xludf.DUMMYFUNCTION("""COMPUTED_VALUE"""),"Херсонська")</f>
        <v>Херсонська</v>
      </c>
      <c r="D121" s="16" t="str">
        <f>IFERROR(__xludf.DUMMYFUNCTION("""COMPUTED_VALUE"""),"Херсон")</f>
        <v>Херсон</v>
      </c>
      <c r="E121" s="16" t="str">
        <f>IFERROR(__xludf.DUMMYFUNCTION("""COMPUTED_VALUE"""),"вул. професора Уварова, 3")</f>
        <v>вул. професора Уварова, 3</v>
      </c>
      <c r="F121" s="17" t="str">
        <f>IFERROR(__xludf.DUMMYFUNCTION("""COMPUTED_VALUE"""),"0552-49-15-63      095-490-25-93    0552-49-24-91")</f>
        <v>0552-49-15-63      095-490-25-93    0552-49-24-91</v>
      </c>
      <c r="G121" s="17" t="str">
        <f>IFERROR(__xludf.DUMMYFUNCTION("""COMPUTED_VALUE"""),"Вібрація загальна та локальна,Шум,Неіонізуюче випромінювання,Мікроклімат,Освітлення")</f>
        <v>Вібрація загальна та локальна,Шум,Неіонізуюче випромінювання,Мікроклімат,Освітлення</v>
      </c>
      <c r="H121" s="17" t="str">
        <f>IFERROR(__xludf.DUMMYFUNCTION("""COMPUTED_VALUE"""),"Азота диоксид,Акролеин,Аминопласты (пресс-порошки),Аммиак,Аммония хлорид,Ангидрид сернистый,Ангидрид хромовый,Ацетон,Бензол,Бутилацетат,Водорода хлорид,Электрокорунд, электрокорунд хромистый,Этилцеллозольв (этиловый эфир этиленгликоля),Этилацетат ,Кислота"&amp;" уксусная,Керамика,Кислота серная,Ксилол (мета-,орто-, пара-),Медь,Масла минеральные нефтяные,Натрия хлорид,Озон,Сероводород,Свинец и его неорганические соединения (по свинцу),Сода кальцинированная,Толуол,Углеводороды алифатические предельные,Углерода окс"&amp;"ид,Фенол,Формальдегид,Фенопласты,Хлор,Хрома оксид (по Cr+3),Цинка оксид,Щелочи едкие (растворы в перерасчете на NaOH),Марганець в сварочном аэрозоле: (до 20% и 20-30%),Известняк,Корунд белый,Кремния диоксид аморфный в виде аэрозоля конденсации при содержа"&amp;"нии меньше 10 %,Кремния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др"&amp;".),Кремния диоксид кристаллический при содержании в пыле от 2 до 10 % (горючие кукерситные сланцы, медно сульфидные руды и др.),Кремния карбид (карборунд).,Чугун в смесе с електрокорундом до 20%,Шамотнографитовые огнеупоры,Зерновая,Мучная, древесная и др."&amp;"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кремни"&amp;"я от 2 до 10 %),Искусственные минеральные волокна силикатные и алюмосиликатные стеклообразной структуры,Цемент, оливин, апатит, форстерит, глина, шамот каолиновый,Стеклопластик на основе полиэфирной смолы
,Коксы каменноугольный, пековый, нефтяной, сланцев"&amp;"ый,Антрацит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f>
        <v>Азота диоксид,Акролеин,Аминопласты (пресс-порошки),Аммиак,Аммония хлорид,Ангидрид сернистый,Ангидрид хромовый,Ацетон,Бензол,Бутилацетат,Водорода хлорид,Электрокорунд, электрокорунд хромистый,Этилцеллозольв (этиловый эфир этиленгликоля),Этилацетат ,Кислота уксусная,Керамика,Кислота серная,Ксилол (мета-,орто-, пара-),Медь,Масла минеральные нефтяные,Натрия хлорид,Озон,Сероводород,Свинец и его неорганические соединения (по свинцу),Сода кальцинированная,Толуол,Углеводороды алифатические предельные,Углерода оксид,Фенол,Формальдегид,Фенопласты,Хлор,Хрома оксид (по Cr+3),Цинка оксид,Щелочи едкие (растворы в перерасчете на NaOH),Марганець в сварочном аэрозоле: (до 20% и 20-30%),Известняк,Корунд белый,Кремния диоксид аморфный в виде аэрозоля конденсации при содержании меньше 10 %,Кремния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др.),Кремния карбид (карборунд).,Чугун в смесе с електрокорундом до 20%,Шамотнографитовые огнеупоры,Зерновая,Мучная,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10 %),Искусственные минеральные волокна силикатные и алюмосиликатные стеклообразной структуры,Цемент, оливин, апатит, форстерит, глина, шамот каолиновый,Стеклопластик на основе полиэфирной смолы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v>
      </c>
      <c r="I121" s="17" t="str">
        <f>IFERROR(__xludf.DUMMYFUNCTION("""COMPUTED_VALUE"""),"")</f>
        <v/>
      </c>
      <c r="J121" s="17" t="str">
        <f>IFERROR(__xludf.DUMMYFUNCTION("""COMPUTED_VALUE"""),"Важкість праці,Напруженість праці")</f>
        <v>Важкість праці,Напруженість праці</v>
      </c>
      <c r="K121" s="18">
        <f>IFERROR(__xludf.DUMMYFUNCTION("""COMPUTED_VALUE"""),43549.0)</f>
        <v>43549</v>
      </c>
      <c r="L121" s="18" t="str">
        <f>IFERROR(__xludf.DUMMYFUNCTION("""COMPUTED_VALUE"""),"")</f>
        <v/>
      </c>
    </row>
    <row r="122">
      <c r="A122" s="11">
        <f t="shared" si="1"/>
        <v>119</v>
      </c>
      <c r="B122" s="16" t="str">
        <f>IFERROR(__xludf.DUMMYFUNCTION("""COMPUTED_VALUE"""),"ДП ""Український науково-дослідний інститут медицини транспорту""")</f>
        <v>ДП "Український науково-дослідний інститут медицини транспорту"</v>
      </c>
      <c r="C122" s="16" t="str">
        <f>IFERROR(__xludf.DUMMYFUNCTION("""COMPUTED_VALUE"""),"Одеська")</f>
        <v>Одеська</v>
      </c>
      <c r="D122" s="16" t="str">
        <f>IFERROR(__xludf.DUMMYFUNCTION("""COMPUTED_VALUE"""),"Одеса")</f>
        <v>Одеса</v>
      </c>
      <c r="E122" s="16" t="str">
        <f>IFERROR(__xludf.DUMMYFUNCTION("""COMPUTED_VALUE"""),"вул. Канатна, 92")</f>
        <v>вул. Канатна, 92</v>
      </c>
      <c r="F122" s="17" t="str">
        <f>IFERROR(__xludf.DUMMYFUNCTION("""COMPUTED_VALUE"""),"048-722-63-54       067-482-07-98")</f>
        <v>048-722-63-54       067-482-07-98</v>
      </c>
      <c r="G122" s="17" t="str">
        <f>IFERROR(__xludf.DUMMYFUNCTION("""COMPUTED_VALUE"""),"Вібрація загальна та локальна,Шум,Неіонізуюче випромінювання,Мікроклімат,Атмосферний тиск")</f>
        <v>Вібрація загальна та локальна,Шум,Неіонізуюче випромінювання,Мікроклімат,Атмосферний тиск</v>
      </c>
      <c r="H122" s="17" t="str">
        <f>IFERROR(__xludf.DUMMYFUNCTION("""COMPUTED_VALUE"""),"")</f>
        <v/>
      </c>
      <c r="I122" s="17" t="str">
        <f>IFERROR(__xludf.DUMMYFUNCTION("""COMPUTED_VALUE"""),"")</f>
        <v/>
      </c>
      <c r="J122" s="17" t="str">
        <f>IFERROR(__xludf.DUMMYFUNCTION("""COMPUTED_VALUE"""),"Важкість праці,Напруженість праці")</f>
        <v>Важкість праці,Напруженість праці</v>
      </c>
      <c r="K122" s="18">
        <f>IFERROR(__xludf.DUMMYFUNCTION("""COMPUTED_VALUE"""),43549.0)</f>
        <v>43549</v>
      </c>
      <c r="L122" s="18" t="str">
        <f>IFERROR(__xludf.DUMMYFUNCTION("""COMPUTED_VALUE"""),"")</f>
        <v/>
      </c>
    </row>
    <row r="123">
      <c r="A123" s="11">
        <f t="shared" si="1"/>
        <v>120</v>
      </c>
      <c r="B123" s="16" t="str">
        <f>IFERROR(__xludf.DUMMYFUNCTION("""COMPUTED_VALUE"""),"ПП ""А-ТЕСТ""")</f>
        <v>ПП "А-ТЕСТ"</v>
      </c>
      <c r="C123" s="16" t="str">
        <f>IFERROR(__xludf.DUMMYFUNCTION("""COMPUTED_VALUE"""),"Львівська")</f>
        <v>Львівська</v>
      </c>
      <c r="D123" s="16" t="str">
        <f>IFERROR(__xludf.DUMMYFUNCTION("""COMPUTED_VALUE"""),"Львів")</f>
        <v>Львів</v>
      </c>
      <c r="E123" s="16" t="str">
        <f>IFERROR(__xludf.DUMMYFUNCTION("""COMPUTED_VALUE"""),"вул. Городоцька, 174")</f>
        <v>вул. Городоцька, 174</v>
      </c>
      <c r="F123" s="17" t="str">
        <f>IFERROR(__xludf.DUMMYFUNCTION("""COMPUTED_VALUE"""),"032-295-54-39")</f>
        <v>032-295-54-39</v>
      </c>
      <c r="G123" s="17" t="str">
        <f>IFERROR(__xludf.DUMMYFUNCTION("""COMPUTED_VALUE"""),"Вібрація загальна та локальна,Шум,Інфразвук,Неіонізуюче випромінювання,Іонізуюче випромінювання,Мікроклімат,Освітлення")</f>
        <v>Вібрація загальна та локальна,Шум,Інфразвук,Неіонізуюче випромінювання,Іонізуюче випромінювання,Мікроклімат,Освітлення</v>
      </c>
      <c r="H123" s="17" t="str">
        <f>IFERROR(__xludf.DUMMYFUNCTION("""COMPUTED_VALUE"""),"")</f>
        <v/>
      </c>
      <c r="I123" s="17" t="str">
        <f>IFERROR(__xludf.DUMMYFUNCTION("""COMPUTED_VALUE"""),"")</f>
        <v/>
      </c>
      <c r="J123" s="17" t="str">
        <f>IFERROR(__xludf.DUMMYFUNCTION("""COMPUTED_VALUE"""),"Важкість праці,Напруженість праці")</f>
        <v>Важкість праці,Напруженість праці</v>
      </c>
      <c r="K123" s="18">
        <f>IFERROR(__xludf.DUMMYFUNCTION("""COMPUTED_VALUE"""),43553.0)</f>
        <v>43553</v>
      </c>
      <c r="L123" s="18" t="str">
        <f>IFERROR(__xludf.DUMMYFUNCTION("""COMPUTED_VALUE"""),"")</f>
        <v/>
      </c>
    </row>
    <row r="124">
      <c r="A124" s="11">
        <f t="shared" si="1"/>
        <v>121</v>
      </c>
      <c r="B124" s="16" t="str">
        <f>IFERROR(__xludf.DUMMYFUNCTION("""COMPUTED_VALUE"""),"ДП ""Закарпатський експертно-технічний центр Держпраці""")</f>
        <v>ДП "Закарпатський експертно-технічний центр Держпраці"</v>
      </c>
      <c r="C124" s="16" t="str">
        <f>IFERROR(__xludf.DUMMYFUNCTION("""COMPUTED_VALUE"""),"Закарпатська")</f>
        <v>Закарпатська</v>
      </c>
      <c r="D124" s="16" t="str">
        <f>IFERROR(__xludf.DUMMYFUNCTION("""COMPUTED_VALUE"""),"Ужгород")</f>
        <v>Ужгород</v>
      </c>
      <c r="E124" s="16" t="str">
        <f>IFERROR(__xludf.DUMMYFUNCTION("""COMPUTED_VALUE"""),"вул. Лесі Українки, 13")</f>
        <v>вул. Лесі Українки, 13</v>
      </c>
      <c r="F124" s="17" t="str">
        <f>IFERROR(__xludf.DUMMYFUNCTION("""COMPUTED_VALUE"""),"0312-61-36-64")</f>
        <v>0312-61-36-64</v>
      </c>
      <c r="G124" s="17" t="str">
        <f>IFERROR(__xludf.DUMMYFUNCTION("""COMPUTED_VALUE"""),"Вібрація загальна та локальна,Шум,Мікроклімат,Освітлення,Атмосферний тиск")</f>
        <v>Вібрація загальна та локальна,Шум,Мікроклімат,Освітлення,Атмосферний тиск</v>
      </c>
      <c r="H124" s="17" t="str">
        <f>IFERROR(__xludf.DUMMYFUNCTION("""COMPUTED_VALUE"""),"Азота диоксид,Ацетон,Электрокорунд, электрокорунд хромистый,Капрон,Кислота серная,Лавсан,Ксилол (мета-,орто-, пара-),Никеля соли в виде гидроаэрозоля (по Ni),Озон,Свинец и его неорганические соединения (по свинцу),Спирт этиловий,Толуол,Углерода оксид,Алюм"&amp;"иния оксид в виде аэрозоля дезинтеграции (глинозем, электрокорунд, монокорунд),Марганець в сварочном аэрозоле: (до 20% и 20-30%),Железный агломерат,Кремния диоксид кристаллический при содержании в пыле от 10 до 70 % (гранит, шамот, слюда-сирец, углепородн"&amp;"ая пыль и др.),Зерновая,Мучная,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шерст"&amp;"яная, пуховая и др. (с примесью диоксида кремния от 2 до 10 %),Асбестопородные пыли при содержании в них асбеста до 10 %,Силикаты стеклообразные вулканического происхождения (туфы, пемза, перлит) ,Слюды, тальк, талькопородные пыли содержащие до 10% свобод"&amp;"ного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каолиновый,Сажи черные промышленные с содержанием бензапирена не более 35 мг на 1 кг")</f>
        <v>Азота диоксид,Ацетон,Электрокорунд, электрокорунд хромистый,Капрон,Кислота серная,Лавсан,Ксилол (мета-,орто-, пара-),Никеля соли в виде гидроаэрозоля (по Ni),Озон,Свинец и его неорганические соединения (по свинцу),Спирт этиловий,Толуол,Углерода оксид,Алюминия оксид в виде аэрозоля дезинтеграции (глинозем, электрокорунд, монокорунд),Марганець в сварочном аэрозоле: (до 20% и 20-30%),Железный агломерат,Кремния диоксид кристаллический при содержании в пыле от 10 до 70 % (гранит, шамот, слюда-сирец, углепородная пыль и др.),Зерновая,Мучная,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10 %),Асбестопородные пыли при содержании в них асбеста до 10 %,Силикаты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каолиновый,Сажи черные промышленные с содержанием бензапирена не более 35 мг на 1 кг</v>
      </c>
      <c r="I124" s="17" t="str">
        <f>IFERROR(__xludf.DUMMYFUNCTION("""COMPUTED_VALUE"""),"")</f>
        <v/>
      </c>
      <c r="J124" s="17" t="str">
        <f>IFERROR(__xludf.DUMMYFUNCTION("""COMPUTED_VALUE"""),"Важкість праці,Напруженість праці")</f>
        <v>Важкість праці,Напруженість праці</v>
      </c>
      <c r="K124" s="18">
        <f>IFERROR(__xludf.DUMMYFUNCTION("""COMPUTED_VALUE"""),43557.0)</f>
        <v>43557</v>
      </c>
      <c r="L124" s="18" t="str">
        <f>IFERROR(__xludf.DUMMYFUNCTION("""COMPUTED_VALUE"""),"")</f>
        <v/>
      </c>
    </row>
    <row r="125">
      <c r="A125" s="11">
        <f t="shared" si="1"/>
        <v>122</v>
      </c>
      <c r="B125" s="16" t="str">
        <f>IFERROR(__xludf.DUMMYFUNCTION("""COMPUTED_VALUE"""),"ДУ ""Дніпропетровський обласний лабораторний центр МОЗ України""")</f>
        <v>ДУ "Дніпропетровський обласний лабораторний центр МОЗ України"</v>
      </c>
      <c r="C125" s="16" t="str">
        <f>IFERROR(__xludf.DUMMYFUNCTION("""COMPUTED_VALUE"""),"Дніпропетровська")</f>
        <v>Дніпропетровська</v>
      </c>
      <c r="D125" s="16" t="str">
        <f>IFERROR(__xludf.DUMMYFUNCTION("""COMPUTED_VALUE"""),"Дніпро")</f>
        <v>Дніпро</v>
      </c>
      <c r="E125" s="16" t="str">
        <f>IFERROR(__xludf.DUMMYFUNCTION("""COMPUTED_VALUE"""),"вул. Щербаня, 6")</f>
        <v>вул. Щербаня, 6</v>
      </c>
      <c r="F125" s="17" t="str">
        <f>IFERROR(__xludf.DUMMYFUNCTION("""COMPUTED_VALUE"""),"056-731-95-83")</f>
        <v>056-731-95-83</v>
      </c>
      <c r="G125" s="17" t="str">
        <f>IFERROR(__xludf.DUMMYFUNCTION("""COMPUTED_VALUE"""),"Вібрація загальна та локальна,Шум,Інфразвук,Неіонізуюче випромінювання,Іонізуюче випромінювання,Мікроклімат,Освітлення")</f>
        <v>Вібрація загальна та локальна,Шум,Інфразвук,Неіонізуюче випромінювання,Іонізуюче випромінювання,Мікроклімат,Освітлення</v>
      </c>
      <c r="H125" s="17" t="str">
        <f>IFERROR(__xludf.DUMMYFUNCTION("""COMPUTED_VALUE"""),"Азота диоксид,Акрилонитрил,Акролеин,Алюминий и його сплавы,Амины алифатические
,Аммиак,Аммония хлорид,Ангидрид малеиновый,Ангидрид масляный,Ангидрид сернистый,Ангидрид фосфорный,Ангидрид хромовый,Анилин,Ацетон,Ацетальдегид,Бензин,Бензол,Бутилацетат,Бутилм"&amp;"етакрилат,Ванадий и его соединения,Винилацетат,Винила хлорид,Водорода хлорид,Водород фтористий (в пересчете на F),Гексан,Дизельное топливо,Диэтилфталат,Диэтиловый эфир,Эпихлоргидрин,Этилцеллозольв (этиловый эфир этиленгликоля),Этилендиамин,Этиленгликоль,Э"&amp;"тилбензол,Этилацетат ,Этилена оксид,Кадмий и его неорганические соединения,Кислота акриловая,Кислота уксусная,Керосин,Кислота серная,Кобальт и его неорганические соединения,Кобальта оксид,Ксилол (мета-,орто-, пара-),Медь,Марганца оксиды (в пересчете на Mn"&amp;"O2) аэрозоль дезинтеграции,Марганца оксиды (в пересчете на MnO2) аэрозоль конденсации,Масла минеральные нефтяные,Моноэтаноламин,Метилметакрилат,Метилмеркаптан,Метилстирол,Молибдена растворимые соединения в виде пыли
,Молибдена нерастворимые соединения,Нат"&amp;"рия гидрокарбонат,Натрия хлорид,Нафталин,Никель, никеля оксиды, сульфиды и смеси соединений никеля (файнштейн, никелевый концентрат и агломерат, оборотная пыль очистных устройств (по Ni)
,Озон,Олово,Пиридин,Пропилен,Ртуть,Селен,Сероводород,Сероуглерод,Сви"&amp;"нец и его неорганические соединения (по свинцу),Сольвент-нафта,Синтетические моющие средства „Лотос”,”Ера”,”Ока” ,Скипидар,Спирт н-бутиловый, бутиловый вторичный и третичный
,Спирт этиловий,Спирт метиловий,Спирт пропиловый,Спирт амиловый
,Спирт изопропило"&amp;"вый,Стирол,Титан и его диоксид,Толуилендиизоцианат,Тетрахлорэтилен,Толуол,Углеводороды алифатические предельные,Углерода оксид,Углерод четыреххлористый,Фенол,Формальдегид,Хлор,Хлорбензол,Хрома оксид (по Cr+3),Хрома оксид (по Cr+6),Циклогексанон,Цинка окси"&amp;"д,Щелочи едкие (растворы в перерасчете на NaOH),Марганець в сварочном аэрозоле: (до 20% и 20-30%),Метилэтилкетон,Кремния диоксид аморфный в виде аэрозоля конденсации при содержании: больше 60 %,Кремния диоксид аморфный в виде аэрозоля конденсации при соде"&amp;"ржании 60-10 %,Кремния диоксид аморфный в виде аэрозоля конденсации при содержании меньше 10 %,Кремния диоксид аморфный в виде аэрозоля дезинтеграции (диатомит, кварцевое стекло, плавленый кварц, трепел);,Кремния диоксид кристаллический (кварц, кристобели"&amp;"т,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1"&amp;"0 % (горючие кукерситные сланцы, медно сульфидные руды и др.),Зерновая,Мучная,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10%),Лубяна"&amp;"я, хлопчато-бумажная, хлопковая, льняная, шерстяная, пуховая и др. (с примесью диоксида кремния от 2 до 10 %),Силикатсодержащие пыли, силикаты, алюмосиликаты при содержании асбеста менее 10%; асбестоцемент,Силикатсодержащие пыли, силикаты, алюмосиликаты п"&amp;"ри содержанииасбеста от 10 до 20%
,Силикатсодержащие пыли, силикаты, алюмосиликаты асбесты природные (хризолит, актофиллит, эктинолит, тремолит, магнезиарфведсонит) и синтетическиеасбесты, а такжесмешанныеасбестопородныепыли при содержании в них асбестабо"&amp;"лее 20%;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стек"&amp;"лообразные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"&amp;"форстерит, глина, шамот каолиновый,Цеолиты (природные и искусственные)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диоксид"&amp;"а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ма"&amp;"териалы на основе гидрат полиакрилонитрильных волокон,Хлорорганічні,Фосфорорганічні,Фторорганічні,Синтетичні піретроїди,Сим-триазини,Триазоли,Похідні ацетанілідів,Похідні сульфокислот,Похідні карбомінової кислоти,Похідні неонікотиноїдів,Похідні карбонових"&amp;" кислот")</f>
        <v>Азота диоксид,Акрилонитрил,Акролеин,Алюминий и його сплавы,Амины алифатические
,Аммиак,Аммония хлорид,Ангидрид малеиновый,Ангидрид масляный,Ангидрид сернистый,Ангидрид фосфорный,Ангидрид хромовый,Анилин,Ацетон,Ацетальдегид,Бензин,Бензол,Бутилацетат,Бутилметакрилат,Ванадий и его соединения,Винилацетат,Винила хлорид,Водорода хлорид,Водород фтористий (в пересчете на F),Гексан,Дизельное топливо,Диэтилфталат,Диэтиловый эфир,Эпихлоргидрин,Этилцеллозольв (этиловый эфир этиленгликоля),Этилендиамин,Этиленгликоль,Этилбензол,Этилацетат ,Этилена оксид,Кадмий и его неорганические соединения,Кислота акриловая,Кислота уксусная,Керосин,Кислота серная,Кобальт и его неорганические соединения,Кобальта оксид,Ксилол (мета-,орто-, пара-),Медь,Марганца оксиды (в пересчете на MnO2) аэрозоль дезинтеграции,Марганца оксиды (в пересчете на MnO2) аэрозоль конденсации,Масла минеральные нефтяные,Моноэтаноламин,Метилметакрилат,Метилмеркаптан,Метилстирол,Молибдена растворимые соединения в виде пыли
,Молибдена нерастворимые соединения,Натрия гидрокарбонат,Натрия хлорид,Нафталин,Никель, никеля оксиды, сульфиды и смеси соединений никеля (файнштейн, никелевый концентрат и агломерат, оборотная пыль очистных устройств (по Ni)
,Озон,Олово,Пиридин,Пропилен,Ртуть,Селен,Сероводород,Сероуглерод,Свинец и его неорганические соединения (по свинцу),Сольвент-нафта,Синтетические моющие средства „Лотос”,”Ера”,”Ока” ,Скипидар,Спирт н-бутиловый, бутиловый вторичный и третичный
,Спирт этиловий,Спирт метиловий,Спирт пропиловый,Спирт амиловый
,Спирт изопропиловый,Стирол,Титан и его диоксид,Толуилендиизоцианат,Тетрахлорэтилен,Толуол,Углеводороды алифатические предельные,Углерода оксид,Углерод четыреххлористый,Фенол,Формальдегид,Хлор,Хлорбензол,Хрома оксид (по Cr+3),Хрома оксид (по Cr+6),Циклогексанон,Цинка оксид,Щелочи едкие (растворы в перерасчете на NaOH),Марганець в сварочном аэрозоле: (до 20% и 20-30%),Метилэтилкетон,Кремния диоксид аморфный в виде аэрозоля конденсации при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аморфный в виде аэрозоля дезинтеграции (диатомит, кварцевое стекло, плавленый кварц, трепел);,Кремния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10 %),Силикатсодержащие пыли, силикаты, алюмосиликаты при содержании асбеста менее 10%; асбестоцемент,Силикатсодержащие пыли, силикаты, алюмосиликаты при содержанииасбеста от 10 до 20%
,Силикатсодержащие пыли, силикаты, алюмосиликаты асбесты природные (хризолит, актофиллит, эктинолит, тремолит, магнезиарфведсонит) и синтетическиеасбесты, а такжесмешанныеасбестопородныепыли при содержании в них асбестаболее 20%;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волокон,Хлорорганічні,Фосфорорганічні,Фторорганічні,Синтетичні піретроїди,Сим-триазини,Триазоли,Похідні ацетанілідів,Похідні сульфокислот,Похідні карбомінової кислоти,Похідні неонікотиноїдів,Похідні карбонових кислот</v>
      </c>
      <c r="I125" s="17" t="str">
        <f>IFERROR(__xludf.DUMMYFUNCTION("""COMPUTED_VALUE"""),"")</f>
        <v/>
      </c>
      <c r="J125" s="17" t="str">
        <f>IFERROR(__xludf.DUMMYFUNCTION("""COMPUTED_VALUE"""),"Важкість праці,Напруженість праці")</f>
        <v>Важкість праці,Напруженість праці</v>
      </c>
      <c r="K125" s="18">
        <f>IFERROR(__xludf.DUMMYFUNCTION("""COMPUTED_VALUE"""),43563.0)</f>
        <v>43563</v>
      </c>
      <c r="L125" s="18" t="str">
        <f>IFERROR(__xludf.DUMMYFUNCTION("""COMPUTED_VALUE"""),"")</f>
        <v/>
      </c>
    </row>
    <row r="126">
      <c r="A126" s="11">
        <f t="shared" si="1"/>
        <v>123</v>
      </c>
      <c r="B126" s="16" t="str">
        <f>IFERROR(__xludf.DUMMYFUNCTION("""COMPUTED_VALUE"""),"ПрАТ НВПП ""Енергомонтажвентиляція""")</f>
        <v>ПрАТ НВПП "Енергомонтажвентиляція"</v>
      </c>
      <c r="C126" s="16" t="str">
        <f>IFERROR(__xludf.DUMMYFUNCTION("""COMPUTED_VALUE"""),"Львівська")</f>
        <v>Львівська</v>
      </c>
      <c r="D126" s="16" t="str">
        <f>IFERROR(__xludf.DUMMYFUNCTION("""COMPUTED_VALUE"""),"Львів")</f>
        <v>Львів</v>
      </c>
      <c r="E126" s="16" t="str">
        <f>IFERROR(__xludf.DUMMYFUNCTION("""COMPUTED_VALUE"""),"вул. Патона, 22")</f>
        <v>вул. Патона, 22</v>
      </c>
      <c r="F126" s="17" t="str">
        <f>IFERROR(__xludf.DUMMYFUNCTION("""COMPUTED_VALUE"""),"032-241-87-40")</f>
        <v>032-241-87-40</v>
      </c>
      <c r="G126" s="17" t="str">
        <f>IFERROR(__xludf.DUMMYFUNCTION("""COMPUTED_VALUE"""),"Вібрація загальна та локальна,Шум,Інфразвук,Неіонізуюче випромінювання,Іонізуюче випромінювання,Мікроклімат,Освітлення,Атмосферний тиск")</f>
        <v>Вібрація загальна та локальна,Шум,Інфразвук,Неіонізуюче випромінювання,Іонізуюче випромінювання,Мікроклімат,Освітлення,Атмосферний тиск</v>
      </c>
      <c r="H126" s="17" t="str">
        <f>IFERROR(__xludf.DUMMYFUNCTION("""COMPUTED_VALUE"""),"")</f>
        <v/>
      </c>
      <c r="I126" s="17" t="str">
        <f>IFERROR(__xludf.DUMMYFUNCTION("""COMPUTED_VALUE"""),"")</f>
        <v/>
      </c>
      <c r="J126" s="17" t="str">
        <f>IFERROR(__xludf.DUMMYFUNCTION("""COMPUTED_VALUE"""),"Важкість праці,Напруженість праці")</f>
        <v>Важкість праці,Напруженість праці</v>
      </c>
      <c r="K126" s="18">
        <f>IFERROR(__xludf.DUMMYFUNCTION("""COMPUTED_VALUE"""),43566.0)</f>
        <v>43566</v>
      </c>
      <c r="L126" s="18" t="str">
        <f>IFERROR(__xludf.DUMMYFUNCTION("""COMPUTED_VALUE"""),"")</f>
        <v/>
      </c>
    </row>
    <row r="127">
      <c r="A127" s="11">
        <f t="shared" si="1"/>
        <v>124</v>
      </c>
      <c r="B127" s="16" t="str">
        <f>IFERROR(__xludf.DUMMYFUNCTION("""COMPUTED_VALUE"""),"ДП ""Запорізьке машинобудівне конструкторське бюро ""Прогрес"" ім. академіка О.Г.Івченка")</f>
        <v>ДП "Запорізьке машинобудівне конструкторське бюро "Прогрес" ім. академіка О.Г.Івченка</v>
      </c>
      <c r="C127" s="16" t="str">
        <f>IFERROR(__xludf.DUMMYFUNCTION("""COMPUTED_VALUE"""),"Запорізька")</f>
        <v>Запорізька</v>
      </c>
      <c r="D127" s="16" t="str">
        <f>IFERROR(__xludf.DUMMYFUNCTION("""COMPUTED_VALUE"""),"Запоріжжя")</f>
        <v>Запоріжжя</v>
      </c>
      <c r="E127" s="16" t="str">
        <f>IFERROR(__xludf.DUMMYFUNCTION("""COMPUTED_VALUE"""),"вул. Іванова, 2")</f>
        <v>вул. Іванова, 2</v>
      </c>
      <c r="F127" s="17" t="str">
        <f>IFERROR(__xludf.DUMMYFUNCTION("""COMPUTED_VALUE"""),"061-218-74-02      061-720-41-53")</f>
        <v>061-218-74-02      061-720-41-53</v>
      </c>
      <c r="G127" s="17" t="str">
        <f>IFERROR(__xludf.DUMMYFUNCTION("""COMPUTED_VALUE"""),"Вібрація загальна та локальна,Шум,Мікроклімат,Освітлення")</f>
        <v>Вібрація загальна та локальна,Шум,Мікроклімат,Освітлення</v>
      </c>
      <c r="H127" s="17" t="str">
        <f>IFERROR(__xludf.DUMMYFUNCTION("""COMPUTED_VALUE"""),"")</f>
        <v/>
      </c>
      <c r="I127" s="17" t="str">
        <f>IFERROR(__xludf.DUMMYFUNCTION("""COMPUTED_VALUE"""),"")</f>
        <v/>
      </c>
      <c r="J127" s="17" t="str">
        <f>IFERROR(__xludf.DUMMYFUNCTION("""COMPUTED_VALUE"""),"Важкість праці,Напруженість праці")</f>
        <v>Важкість праці,Напруженість праці</v>
      </c>
      <c r="K127" s="18">
        <f>IFERROR(__xludf.DUMMYFUNCTION("""COMPUTED_VALUE"""),43571.0)</f>
        <v>43571</v>
      </c>
      <c r="L127" s="18" t="str">
        <f>IFERROR(__xludf.DUMMYFUNCTION("""COMPUTED_VALUE"""),"")</f>
        <v/>
      </c>
    </row>
    <row r="128">
      <c r="A128" s="11">
        <f t="shared" si="1"/>
        <v>125</v>
      </c>
      <c r="B128" s="16" t="str">
        <f>IFERROR(__xludf.DUMMYFUNCTION("""COMPUTED_VALUE"""),"Ужгородська міськрайонна філія ДУ ""Закарпатський обласний лабораторний центр МОЗ України""")</f>
        <v>Ужгородська міськрайонна філія ДУ "Закарпатський обласний лабораторний центр МОЗ України"</v>
      </c>
      <c r="C128" s="16" t="str">
        <f>IFERROR(__xludf.DUMMYFUNCTION("""COMPUTED_VALUE"""),"Закарпатська")</f>
        <v>Закарпатська</v>
      </c>
      <c r="D128" s="16" t="str">
        <f>IFERROR(__xludf.DUMMYFUNCTION("""COMPUTED_VALUE"""),"Ужгород")</f>
        <v>Ужгород</v>
      </c>
      <c r="E128" s="16" t="str">
        <f>IFERROR(__xludf.DUMMYFUNCTION("""COMPUTED_VALUE"""),"вул. Грибоєдова, 20 Г")</f>
        <v>вул. Грибоєдова, 20 Г</v>
      </c>
      <c r="F128" s="17" t="str">
        <f>IFERROR(__xludf.DUMMYFUNCTION("""COMPUTED_VALUE"""),"0312-64-07-25")</f>
        <v>0312-64-07-25</v>
      </c>
      <c r="G128" s="17" t="str">
        <f>IFERROR(__xludf.DUMMYFUNCTION("""COMPUTED_VALUE"""),"Вібрація загальна та локальна,Шум,Неіонізуюче випромінювання,Мікроклімат,Освітлення,Атмосферний тиск")</f>
        <v>Вібрація загальна та локальна,Шум,Неіонізуюче випромінювання,Мікроклімат,Освітлення,Атмосферний тиск</v>
      </c>
      <c r="H128" s="17" t="str">
        <f>IFERROR(__xludf.DUMMYFUNCTION("""COMPUTED_VALUE"""),"")</f>
        <v/>
      </c>
      <c r="I128" s="17" t="str">
        <f>IFERROR(__xludf.DUMMYFUNCTION("""COMPUTED_VALUE"""),"")</f>
        <v/>
      </c>
      <c r="J128" s="17" t="str">
        <f>IFERROR(__xludf.DUMMYFUNCTION("""COMPUTED_VALUE"""),"Важкість праці,Напруженість праці")</f>
        <v>Важкість праці,Напруженість праці</v>
      </c>
      <c r="K128" s="18">
        <f>IFERROR(__xludf.DUMMYFUNCTION("""COMPUTED_VALUE"""),43570.0)</f>
        <v>43570</v>
      </c>
      <c r="L128" s="18" t="str">
        <f>IFERROR(__xludf.DUMMYFUNCTION("""COMPUTED_VALUE"""),"")</f>
        <v/>
      </c>
    </row>
    <row r="129">
      <c r="A129" s="11">
        <f t="shared" si="1"/>
        <v>126</v>
      </c>
      <c r="B129" s="16" t="str">
        <f>IFERROR(__xludf.DUMMYFUNCTION("""COMPUTED_VALUE"""),"ВП ""Запорізька атомна електрична станція"" ДП ""НАЕК ""Енергоатом""")</f>
        <v>ВП "Запорізька атомна електрична станція" ДП "НАЕК "Енергоатом"</v>
      </c>
      <c r="C129" s="16" t="str">
        <f>IFERROR(__xludf.DUMMYFUNCTION("""COMPUTED_VALUE"""),"Запорізька")</f>
        <v>Запорізька</v>
      </c>
      <c r="D129" s="16" t="str">
        <f>IFERROR(__xludf.DUMMYFUNCTION("""COMPUTED_VALUE"""),"Енергодар")</f>
        <v>Енергодар</v>
      </c>
      <c r="E129" s="16" t="str">
        <f>IFERROR(__xludf.DUMMYFUNCTION("""COMPUTED_VALUE"""),"вул. Промислова, 133")</f>
        <v>вул. Промислова, 133</v>
      </c>
      <c r="F129" s="17" t="str">
        <f>IFERROR(__xludf.DUMMYFUNCTION("""COMPUTED_VALUE"""),"06139-5-62-20      06139-5-63-34")</f>
        <v>06139-5-62-20      06139-5-63-34</v>
      </c>
      <c r="G129" s="17" t="str">
        <f>IFERROR(__xludf.DUMMYFUNCTION("""COMPUTED_VALUE"""),"Вібрація загальна та локальна,Шум,Інфразвук,Неіонізуюче випромінювання,Іонізуюче випромінювання,Мікроклімат,Освітлення")</f>
        <v>Вібрація загальна та локальна,Шум,Інфразвук,Неіонізуюче випромінювання,Іонізуюче випромінювання,Мікроклімат,Освітлення</v>
      </c>
      <c r="H129" s="17" t="str">
        <f>IFERROR(__xludf.DUMMYFUNCTION("""COMPUTED_VALUE"""),"Азота оксид (IV) в перерарасчете на (NO2),Акролеин,Алюминий и його сплавы,Аммиак,Ангидрид сернистый,Ангидрид фосфорный,Ангидрид хромовый,Ацетон,Бензол,Бутилацетат,Водорода хлорид,Водород фтористий (в пересчете на F),Гидразин и его производные,Электрокорун"&amp;"д, электрокорунд хромистый,Этилацетат ,Кислота борная,Кислота уксусная,Кислота серная,Ксилол (мета-,орто-, пара-),Медь,Марганца оксиды (в пересчете на MnO2) аэрозоль дезинтеграции,Масла минеральные нефтяные,Морфолин,Никель, никеля оксиды, сульфиды и смеси"&amp;" соединений никеля (файнштейн, никелевый концентрат и агломерат, оборотная пыль очистных устройств (по Ni)
,Озон,Селена диоксид,Сероводород,Свинец и его неорганические соединения (по свинцу),Сода кальцинированная,Спирт этиловий,Титан и его диоксид,Толуол,"&amp;"Уайт-спирит (в пересчете на С),Углеводороды алифатические предельные,Фенол,Формальдегид,Фтористоводородной кислоты соли (по F):
 фториды натрия, калия, аммония, цинка, олова, серебра, лития и бария, криолит, гидрофторид аммония,Фтористоводородной кислоты "&amp;"соли (по F) фториды алюминия, магния, кальция, стронция, меди, хрома,Хлор,Хрома оксид (по Cr+3),Цинка оксид,Щелочи едкие (растворы в перерасчете на NaOH),Марганець в сварочном аэрозоле: (до 20% и 20-30%),Кремния диоксид аморфный в виде аэрозоля конденсаци"&amp;"и при содержании меньше 10 %,Кремния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су"&amp;"льфидные руды и др.),Мучная,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шерстяна"&amp;"я, пуховая и др. (с примесью диоксида кремния от 2 до 10 %),Искусственные минеральные волокна силикатные и алюмосиликатные стеклообразной структуры,Цемент, оливин, апатит, форстерит, глина, шамот каолиновый")</f>
        <v>Азота оксид (IV) в перерарасчете на (NO2),Акролеин,Алюминий и його сплавы,Аммиак,Ангидрид сернистый,Ангидрид фосфорный,Ангидрид хромовый,Ацетон,Бензол,Бутилацетат,Водорода хлорид,Водород фтористий (в пересчете на F),Гидразин и его производные,Электрокорунд, электрокорунд хромистый,Этилацетат ,Кислота борная,Кислота уксусная,Кислота серная,Ксилол (мета-,орто-, пара-),Медь,Марганца оксиды (в пересчете на MnO2) аэрозоль дезинтеграции,Масла минеральные нефтяные,Морфолин,Никель, никеля оксиды, сульфиды и смеси соединений никеля (файнштейн, никелевый концентрат и агломерат, оборотная пыль очистных устройств (по Ni)
,Озон,Селена диоксид,Сероводород,Свинец и его неорганические соединения (по свинцу),Сода кальцинированная,Спирт этиловий,Титан и его диоксид,Толуол,Уайт-спирит (в пересчете на С),Углеводороды алифатические предельные,Фенол,Формальдегид,Фтористоводородной кислоты соли (по F):
 фториды натрия, калия, аммония, цинка, олова, серебра, лития и бария, криолит, гидрофторид аммония,Фтористоводородной кислоты соли (по F) фториды алюминия, магния, кальция, стронция, меди, хрома,Хлор,Хрома оксид (по Cr+3),Цинка оксид,Щелочи едкие (растворы в перерасчете на NaOH),Марганець в сварочном аэрозоле: (до 20% и 20-30%),Кремния диоксид аморфный в виде аэрозоля конденсации при содержании меньше 10 %,Кремния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10 %),Искусственные минеральные волокна силикатные и алюмосиликатные стеклообразной структуры,Цемент, оливин, апатит, форстерит, глина, шамот каолиновый</v>
      </c>
      <c r="I129" s="17" t="str">
        <f>IFERROR(__xludf.DUMMYFUNCTION("""COMPUTED_VALUE"""),"")</f>
        <v/>
      </c>
      <c r="J129" s="17" t="str">
        <f>IFERROR(__xludf.DUMMYFUNCTION("""COMPUTED_VALUE"""),"Важкість праці,Напруженість праці")</f>
        <v>Важкість праці,Напруженість праці</v>
      </c>
      <c r="K129" s="18">
        <f>IFERROR(__xludf.DUMMYFUNCTION("""COMPUTED_VALUE"""),43570.0)</f>
        <v>43570</v>
      </c>
      <c r="L129" s="18" t="str">
        <f>IFERROR(__xludf.DUMMYFUNCTION("""COMPUTED_VALUE"""),"")</f>
        <v/>
      </c>
    </row>
    <row r="130">
      <c r="A130" s="11">
        <f t="shared" si="1"/>
        <v>127</v>
      </c>
      <c r="B130" s="16" t="str">
        <f>IFERROR(__xludf.DUMMYFUNCTION("""COMPUTED_VALUE"""),"ВП ""Управління ""Західвуглепромсанекологія"" ДП ""Львіввугілля""")</f>
        <v>ВП "Управління "Західвуглепромсанекологія" ДП "Львіввугілля"</v>
      </c>
      <c r="C130" s="16" t="str">
        <f>IFERROR(__xludf.DUMMYFUNCTION("""COMPUTED_VALUE"""),"Львівська")</f>
        <v>Львівська</v>
      </c>
      <c r="D130" s="16" t="str">
        <f>IFERROR(__xludf.DUMMYFUNCTION("""COMPUTED_VALUE"""),"Червоноград")</f>
        <v>Червоноград</v>
      </c>
      <c r="E130" s="16" t="str">
        <f>IFERROR(__xludf.DUMMYFUNCTION("""COMPUTED_VALUE"""),"вул. Бічна Промислова, 33")</f>
        <v>вул. Бічна Промислова, 33</v>
      </c>
      <c r="F130" s="17" t="str">
        <f>IFERROR(__xludf.DUMMYFUNCTION("""COMPUTED_VALUE"""),"03249-9-30-49    03249-9-35-32     ")</f>
        <v>03249-9-30-49    03249-9-35-32     </v>
      </c>
      <c r="G130" s="17" t="str">
        <f>IFERROR(__xludf.DUMMYFUNCTION("""COMPUTED_VALUE"""),"Вібрація загальна та локальна,Шум,Мікроклімат,Освітлення,Атмосферний тиск")</f>
        <v>Вібрація загальна та локальна,Шум,Мікроклімат,Освітлення,Атмосферний тиск</v>
      </c>
      <c r="H130" s="17" t="str">
        <f>IFERROR(__xludf.DUMMYFUNCTION("""COMPUTED_VALUE"""),"Кремния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диокс"&amp;"ид кристаллический при содержании в пыле от 2 до 10 % (горючие кукерситные сланцы, медно сульфидные руды и др.),Зерновая,Мучная, древесная и др. (с примесью диоксида кремния меньше 2 %),Лубяная, хлопчато-бумажная, хлопковая, льняная, шерстяная, пуховая и "&amp;"др. (с примесью диоксида кремния более 10%),Лубяная, хлопчато-бумажная, хлопковая, льняная, шерстяная, пуховая и др. (с примесью диоксида кремния от 2 до 10 %),Искусственные минеральные волокна силикатные и алюмосиликатные стеклообразной структуры,Цемент,"&amp;" оливин, апатит, форстерит, глина, шамот каолиновый,Коксы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"&amp;"5% до 10%")</f>
        <v>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10 %),Искусственные минеральные волокна силикатные и алюмосиликатные стеклообразной структуры,Цемент, оливин, апатит, форстерит, глина, шамот каолиновый,Коксы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v>
      </c>
      <c r="I130" s="17" t="str">
        <f>IFERROR(__xludf.DUMMYFUNCTION("""COMPUTED_VALUE"""),"")</f>
        <v/>
      </c>
      <c r="J130" s="17" t="str">
        <f>IFERROR(__xludf.DUMMYFUNCTION("""COMPUTED_VALUE"""),"Важкість праці,Напруженість праці")</f>
        <v>Важкість праці,Напруженість праці</v>
      </c>
      <c r="K130" s="18">
        <f>IFERROR(__xludf.DUMMYFUNCTION("""COMPUTED_VALUE"""),43574.0)</f>
        <v>43574</v>
      </c>
      <c r="L130" s="18" t="str">
        <f>IFERROR(__xludf.DUMMYFUNCTION("""COMPUTED_VALUE"""),"")</f>
        <v/>
      </c>
    </row>
    <row r="131">
      <c r="A131" s="11">
        <f t="shared" si="1"/>
        <v>128</v>
      </c>
      <c r="B131" s="16" t="str">
        <f>IFERROR(__xludf.DUMMYFUNCTION("""COMPUTED_VALUE"""),"ПрАТ ""Дніпроспецсталь""")</f>
        <v>ПрАТ "Дніпроспецсталь"</v>
      </c>
      <c r="C131" s="16" t="str">
        <f>IFERROR(__xludf.DUMMYFUNCTION("""COMPUTED_VALUE"""),"Запорізька")</f>
        <v>Запорізька</v>
      </c>
      <c r="D131" s="16" t="str">
        <f>IFERROR(__xludf.DUMMYFUNCTION("""COMPUTED_VALUE"""),"Запоріжжя")</f>
        <v>Запоріжжя</v>
      </c>
      <c r="E131" s="16" t="str">
        <f>IFERROR(__xludf.DUMMYFUNCTION("""COMPUTED_VALUE"""),"вул.Південне шосе, 81")</f>
        <v>вул.Південне шосе, 81</v>
      </c>
      <c r="F131" s="17" t="str">
        <f>IFERROR(__xludf.DUMMYFUNCTION("""COMPUTED_VALUE"""),"061-222-36-30       061-222-42-83      061-213-60-28")</f>
        <v>061-222-36-30       061-222-42-83      061-213-60-28</v>
      </c>
      <c r="G131" s="17" t="str">
        <f>IFERROR(__xludf.DUMMYFUNCTION("""COMPUTED_VALUE"""),"Шум,Мікроклімат,Освітлення")</f>
        <v>Шум,Мікроклімат,Освітлення</v>
      </c>
      <c r="H131" s="17" t="str">
        <f>IFERROR(__xludf.DUMMYFUNCTION("""COMPUTED_VALUE"""),"")</f>
        <v/>
      </c>
      <c r="I131" s="17" t="str">
        <f>IFERROR(__xludf.DUMMYFUNCTION("""COMPUTED_VALUE"""),"")</f>
        <v/>
      </c>
      <c r="J131" s="17" t="str">
        <f>IFERROR(__xludf.DUMMYFUNCTION("""COMPUTED_VALUE"""),"Важкість праці,Напруженість праці")</f>
        <v>Важкість праці,Напруженість праці</v>
      </c>
      <c r="K131" s="18">
        <f>IFERROR(__xludf.DUMMYFUNCTION("""COMPUTED_VALUE"""),43574.0)</f>
        <v>43574</v>
      </c>
      <c r="L131" s="18" t="str">
        <f>IFERROR(__xludf.DUMMYFUNCTION("""COMPUTED_VALUE"""),"")</f>
        <v/>
      </c>
    </row>
    <row r="132">
      <c r="A132" s="11">
        <f t="shared" si="1"/>
        <v>129</v>
      </c>
      <c r="B132" s="16" t="str">
        <f>IFERROR(__xludf.DUMMYFUNCTION("""COMPUTED_VALUE"""),"Приватне науково-виробниче підприємство ""Екологія""")</f>
        <v>Приватне науково-виробниче підприємство "Екологія"</v>
      </c>
      <c r="C132" s="16" t="str">
        <f>IFERROR(__xludf.DUMMYFUNCTION("""COMPUTED_VALUE"""),"Львівська")</f>
        <v>Львівська</v>
      </c>
      <c r="D132" s="16" t="str">
        <f>IFERROR(__xludf.DUMMYFUNCTION("""COMPUTED_VALUE"""),"Золочів")</f>
        <v>Золочів</v>
      </c>
      <c r="E132" s="16" t="str">
        <f>IFERROR(__xludf.DUMMYFUNCTION("""COMPUTED_VALUE"""),"вул. Кармелюка, 12")</f>
        <v>вул. Кармелюка, 12</v>
      </c>
      <c r="F132" s="17" t="str">
        <f>IFERROR(__xludf.DUMMYFUNCTION("""COMPUTED_VALUE"""),"03265-4-66-77")</f>
        <v>03265-4-66-77</v>
      </c>
      <c r="G132" s="17" t="str">
        <f>IFERROR(__xludf.DUMMYFUNCTION("""COMPUTED_VALUE"""),"Вібрація загальна та локальна,Шум,Неіонізуюче випромінювання,Мікроклімат,Освітлення,Атмосферний тиск")</f>
        <v>Вібрація загальна та локальна,Шум,Неіонізуюче випромінювання,Мікроклімат,Освітлення,Атмосферний тиск</v>
      </c>
      <c r="H132" s="17" t="str">
        <f>IFERROR(__xludf.DUMMYFUNCTION("""COMPUTED_VALUE"""),"Азота диоксид,Акролеин,Амилацетат,Аммиак,Ангидрид сернистый,Ангидрид хромовый,Ацетон,Ацетальдегид,Бензин,Бензол,Бутилацетат,Винилацетат,Водорода хлорид,Водорода цианид,Эпихлоргидрин,Этиленгликоль,Этилацетат ,Кислота муравьиная,Кислота уксусная,Кислота сер"&amp;"ная,Ксилол (мета-,орто-, пара-),Медь,Масла минеральные нефтяные,Метилмеркаптан,Озон,Ртуть,Сероводород,Свинец и его неорганические соединения (по свинцу),Сода кальцинированная,Спирт метиловий,Спирт пропиловый,Стирол,Толуилендиизоцианат,Толуол,Уайт-спирит ("&amp;"в пересчете на С),Углерода оксид,Углерод четыреххлористый,Фенол,Формальдегид,Фурфурол,Хлор,Циклогексанон,Щелочи едкие (растворы в перерасчете на NaOH),Марганець в сварочном аэрозоле: (до 20% и 20-30%),Зерновая,Мучная, древесная и др. (с примесью диоксида "&amp;"кремния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10 %),Асбест"&amp;"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вулкан"&amp;"ического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глина,"&amp;" шамот каолиновый,Цеолиты (природные и искусственные)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"&amp;"от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основе"&amp;" гидрат полиакрилонитрильных волокон")</f>
        <v>Азота диоксид,Акролеин,Амилацетат,Аммиак,Ангидрид сернистый,Ангидрид хромовый,Ацетон,Ацетальдегид,Бензин,Бензол,Бутилацетат,Винилацетат,Водорода хлорид,Водорода цианид,Эпихлоргидрин,Этиленгликоль,Этилацетат ,Кислота муравьиная,Кислота уксусная,Кислота серная,Ксилол (мета-,орто-, пара-),Медь,Масла минеральные нефтяные,Метилмеркаптан,Озон,Ртуть,Сероводород,Свинец и его неорганические соединения (по свинцу),Сода кальцинированная,Спирт метиловий,Спирт пропиловый,Стирол,Толуилендиизоцианат,Толуол,Уайт-спирит (в пересчете на С),Углерода оксид,Углерод четыреххлористый,Фенол,Формальдегид,Фурфурол,Хлор,Циклогексанон,Щелочи едкие (растворы в перерасчете на NaOH),Марганець в сварочном аэрозоле: (до 20% и 20-30%),Зерновая,Мучная,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v>
      </c>
      <c r="I132" s="17" t="str">
        <f>IFERROR(__xludf.DUMMYFUNCTION("""COMPUTED_VALUE"""),"")</f>
        <v/>
      </c>
      <c r="J132" s="17" t="str">
        <f>IFERROR(__xludf.DUMMYFUNCTION("""COMPUTED_VALUE"""),"Важкість праці,Напруженість праці")</f>
        <v>Важкість праці,Напруженість праці</v>
      </c>
      <c r="K132" s="18">
        <f>IFERROR(__xludf.DUMMYFUNCTION("""COMPUTED_VALUE"""),43578.0)</f>
        <v>43578</v>
      </c>
      <c r="L132" s="18" t="str">
        <f>IFERROR(__xludf.DUMMYFUNCTION("""COMPUTED_VALUE"""),"")</f>
        <v/>
      </c>
    </row>
    <row r="133">
      <c r="A133" s="11">
        <f t="shared" si="1"/>
        <v>130</v>
      </c>
      <c r="B133" s="16" t="str">
        <f>IFERROR(__xludf.DUMMYFUNCTION("""COMPUTED_VALUE"""),"АТ ""Покровський гірничо-збагачувальний комбінат""")</f>
        <v>АТ "Покровський гірничо-збагачувальний комбінат"</v>
      </c>
      <c r="C133" s="16" t="str">
        <f>IFERROR(__xludf.DUMMYFUNCTION("""COMPUTED_VALUE"""),"Дніпропетровська")</f>
        <v>Дніпропетровська</v>
      </c>
      <c r="D133" s="16" t="str">
        <f>IFERROR(__xludf.DUMMYFUNCTION("""COMPUTED_VALUE"""),"Покров")</f>
        <v>Покров</v>
      </c>
      <c r="E133" s="16" t="str">
        <f>IFERROR(__xludf.DUMMYFUNCTION("""COMPUTED_VALUE"""),"вул. Північна промислова, 20")</f>
        <v>вул. Північна промислова, 20</v>
      </c>
      <c r="F133" s="17" t="str">
        <f>IFERROR(__xludf.DUMMYFUNCTION("""COMPUTED_VALUE"""),"05667-5-34-41       05667-5-31-32")</f>
        <v>05667-5-34-41       05667-5-31-32</v>
      </c>
      <c r="G133" s="17" t="str">
        <f>IFERROR(__xludf.DUMMYFUNCTION("""COMPUTED_VALUE"""),"Вібрація загальна та локальна,Шум,Неіонізуюче випромінювання,Мікроклімат,Освітлення,Атмосферний тиск")</f>
        <v>Вібрація загальна та локальна,Шум,Неіонізуюче випромінювання,Мікроклімат,Освітлення,Атмосферний тиск</v>
      </c>
      <c r="H133" s="17" t="str">
        <f>IFERROR(__xludf.DUMMYFUNCTION("""COMPUTED_VALUE"""),"")</f>
        <v/>
      </c>
      <c r="I133" s="17" t="str">
        <f>IFERROR(__xludf.DUMMYFUNCTION("""COMPUTED_VALUE"""),"")</f>
        <v/>
      </c>
      <c r="J133" s="17" t="str">
        <f>IFERROR(__xludf.DUMMYFUNCTION("""COMPUTED_VALUE"""),"Важкість праці,Напруженість праці")</f>
        <v>Важкість праці,Напруженість праці</v>
      </c>
      <c r="K133" s="18">
        <f>IFERROR(__xludf.DUMMYFUNCTION("""COMPUTED_VALUE"""),43580.0)</f>
        <v>43580</v>
      </c>
      <c r="L133" s="18" t="str">
        <f>IFERROR(__xludf.DUMMYFUNCTION("""COMPUTED_VALUE"""),"")</f>
        <v/>
      </c>
    </row>
    <row r="134">
      <c r="A134" s="11">
        <f t="shared" si="1"/>
        <v>131</v>
      </c>
      <c r="B134" s="16" t="str">
        <f>IFERROR(__xludf.DUMMYFUNCTION("""COMPUTED_VALUE"""),"ДУ ""Полтавський обласний лабораторний центр МОЗ України""")</f>
        <v>ДУ "Полтавський обласний лабораторний центр МОЗ України"</v>
      </c>
      <c r="C134" s="16" t="str">
        <f>IFERROR(__xludf.DUMMYFUNCTION("""COMPUTED_VALUE"""),"Полтавська")</f>
        <v>Полтавська</v>
      </c>
      <c r="D134" s="16" t="str">
        <f>IFERROR(__xludf.DUMMYFUNCTION("""COMPUTED_VALUE"""),"Полтава")</f>
        <v>Полтава</v>
      </c>
      <c r="E134" s="16" t="str">
        <f>IFERROR(__xludf.DUMMYFUNCTION("""COMPUTED_VALUE"""),"вул. Ватутіна, 35 А")</f>
        <v>вул. Ватутіна, 35 А</v>
      </c>
      <c r="F134" s="17" t="str">
        <f>IFERROR(__xludf.DUMMYFUNCTION("""COMPUTED_VALUE"""),"0532-56-95-57        050-630-99-87")</f>
        <v>0532-56-95-57        050-630-99-87</v>
      </c>
      <c r="G134" s="17" t="str">
        <f>IFERROR(__xludf.DUMMYFUNCTION("""COMPUTED_VALUE"""),"Вібрація загальна та локальна,Шум,Неіонізуюче випромінювання,Іонізуюче випромінювання,Мікроклімат,Освітлення,Атмосферний тиск")</f>
        <v>Вібрація загальна та локальна,Шум,Неіонізуюче випромінювання,Іонізуюче випромінювання,Мікроклімат,Освітлення,Атмосферний тиск</v>
      </c>
      <c r="H134" s="17" t="str">
        <f>IFERROR(__xludf.DUMMYFUNCTION("""COMPUTED_VALUE"""),"Хлорорганічні,Фосфорорганічні,Синтетичні піретроїди,Похідні оксатиіна,Похідні дитіокарбамінової кислоти,Похідні неонікотиноїдів")</f>
        <v>Хлорорганічні,Фосфорорганічні,Синтетичні піретроїди,Похідні оксатиіна,Похідні дитіокарбамінової кислоти,Похідні неонікотиноїдів</v>
      </c>
      <c r="I134" s="17" t="str">
        <f>IFERROR(__xludf.DUMMYFUNCTION("""COMPUTED_VALUE"""),"")</f>
        <v/>
      </c>
      <c r="J134" s="17" t="str">
        <f>IFERROR(__xludf.DUMMYFUNCTION("""COMPUTED_VALUE"""),"Важкість праці,Напруженість праці")</f>
        <v>Важкість праці,Напруженість праці</v>
      </c>
      <c r="K134" s="18">
        <f>IFERROR(__xludf.DUMMYFUNCTION("""COMPUTED_VALUE"""),43588.0)</f>
        <v>43588</v>
      </c>
      <c r="L134" s="18" t="str">
        <f>IFERROR(__xludf.DUMMYFUNCTION("""COMPUTED_VALUE"""),"")</f>
        <v/>
      </c>
    </row>
    <row r="135">
      <c r="A135" s="11">
        <f t="shared" si="1"/>
        <v>132</v>
      </c>
      <c r="B135" s="16" t="str">
        <f>IFERROR(__xludf.DUMMYFUNCTION("""COMPUTED_VALUE"""),"ТОВ ""НВЦ ""Новатор"" ")</f>
        <v>ТОВ "НВЦ "Новатор" </v>
      </c>
      <c r="C135" s="16" t="str">
        <f>IFERROR(__xludf.DUMMYFUNCTION("""COMPUTED_VALUE"""),"Київська")</f>
        <v>Київська</v>
      </c>
      <c r="D135" s="16" t="str">
        <f>IFERROR(__xludf.DUMMYFUNCTION("""COMPUTED_VALUE"""),"Київ")</f>
        <v>Київ</v>
      </c>
      <c r="E135" s="16" t="str">
        <f>IFERROR(__xludf.DUMMYFUNCTION("""COMPUTED_VALUE"""),"вул. Сім'ї Стешенків, 7, оф. 144")</f>
        <v>вул. Сім'ї Стешенків, 7, оф. 144</v>
      </c>
      <c r="F135" s="17" t="str">
        <f>IFERROR(__xludf.DUMMYFUNCTION("""COMPUTED_VALUE"""),"044-407-04-57")</f>
        <v>044-407-04-57</v>
      </c>
      <c r="G135" s="17" t="str">
        <f>IFERROR(__xludf.DUMMYFUNCTION("""COMPUTED_VALUE"""),"Вібрація загальна та локальна,Шум,Мікроклімат,Освітлення")</f>
        <v>Вібрація загальна та локальна,Шум,Мікроклімат,Освітлення</v>
      </c>
      <c r="H135" s="17" t="str">
        <f>IFERROR(__xludf.DUMMYFUNCTION("""COMPUTED_VALUE"""),"Азота диоксид,Аммиак,Электрокорунд, электрокорунд хромистый,Капролактам ,Капрон,Керамика,Лавсан,Серебро,Сероводород,Титан и его диоксид,Табак,Углерода оксид,Фенопласты,Фторопласт-4,Хлор,Чай,Вискоза-77,Известняк,Корунд белый,Кремния диоксид кристаллический"&amp;" при содержании в пыле от 10 до 70 % (гранит, шамот, слюда-сирец, углепородная пыль и др.),Кремния карбид (карборунд).,Поливинилхлорид,Полимеры и сополимеры на основе акриловых и метакриловых мономеров,Полипропилен,Поликарбонат,Полиэтилен,Чугун в смесе с "&amp;"електрокорундом до 20%,Зерновая,Мучная,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льняна"&amp;"я,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неокра"&amp;"шенный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алюмо"&amp;"силикатные стеклообразной структуры,Цемент, оливин, апатит, форстерит, глина, шамот каолиновый,Коксы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содержа"&amp;"нием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волокон,Уг"&amp;"леродные волокнистые материалы на основе гидрат полиакрилонитрильных волокон")</f>
        <v>Азота диоксид,Аммиак,Электрокорунд, электрокорунд хромистый,Капролактам ,Капрон,Керамика,Лавсан,Серебро,Сероводород,Титан и его диоксид,Табак,Углерода оксид,Фенопласты,Фторопласт-4,Хлор,Чай,Вискоза-77,Известняк,Корунд белый,Кремния диоксид кристаллический при содержании в пыле от 10 до 70 % (гранит, шамот, слюда-сирец, углепородная пыль и др.),Кремния карбид (карборунд).,Поливинилхлорид,Полимеры и сополимеры на основе акриловых и метакриловых мономеров,Полипропилен,Поликарбонат,Полиэтилен,Чугун в смесе с електрокорундом до 20%,Зерновая,Мучная,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v>
      </c>
      <c r="I135" s="17" t="str">
        <f>IFERROR(__xludf.DUMMYFUNCTION("""COMPUTED_VALUE"""),"")</f>
        <v/>
      </c>
      <c r="J135" s="17" t="str">
        <f>IFERROR(__xludf.DUMMYFUNCTION("""COMPUTED_VALUE"""),"Важкість праці,Напруженість праці")</f>
        <v>Важкість праці,Напруженість праці</v>
      </c>
      <c r="K135" s="18">
        <f>IFERROR(__xludf.DUMMYFUNCTION("""COMPUTED_VALUE"""),43588.0)</f>
        <v>43588</v>
      </c>
      <c r="L135" s="18" t="str">
        <f>IFERROR(__xludf.DUMMYFUNCTION("""COMPUTED_VALUE"""),"")</f>
        <v/>
      </c>
    </row>
    <row r="136">
      <c r="A136" s="11">
        <f t="shared" si="1"/>
        <v>133</v>
      </c>
      <c r="B136" s="16" t="str">
        <f>IFERROR(__xludf.DUMMYFUNCTION("""COMPUTED_VALUE"""),"ДП ""Сумський експертно-технічний центр Держпраці""")</f>
        <v>ДП "Сумський експертно-технічний центр Держпраці"</v>
      </c>
      <c r="C136" s="16" t="str">
        <f>IFERROR(__xludf.DUMMYFUNCTION("""COMPUTED_VALUE"""),"Сумська")</f>
        <v>Сумська</v>
      </c>
      <c r="D136" s="16" t="str">
        <f>IFERROR(__xludf.DUMMYFUNCTION("""COMPUTED_VALUE"""),"Суми")</f>
        <v>Суми</v>
      </c>
      <c r="E136" s="16" t="str">
        <f>IFERROR(__xludf.DUMMYFUNCTION("""COMPUTED_VALUE"""),"вул. Косівщинська, 18")</f>
        <v>вул. Косівщинська, 18</v>
      </c>
      <c r="F136" s="17" t="str">
        <f>IFERROR(__xludf.DUMMYFUNCTION("""COMPUTED_VALUE"""),"0542-61-14-51")</f>
        <v>0542-61-14-51</v>
      </c>
      <c r="G136" s="17" t="str">
        <f>IFERROR(__xludf.DUMMYFUNCTION("""COMPUTED_VALUE"""),"Вібрація загальна та локальна,Шум,Ультразвук,Інфразвук,Неіонізуюче випромінювання,Мікроклімат,Освітлення,Атмосферний тиск")</f>
        <v>Вібрація загальна та локальна,Шум,Ультразвук,Інфразвук,Неіонізуюче випромінювання,Мікроклімат,Освітлення,Атмосферний тиск</v>
      </c>
      <c r="H136" s="17" t="str">
        <f>IFERROR(__xludf.DUMMYFUNCTION("""COMPUTED_VALUE"""),"Азота диоксид,Акролеин,Алюминий и його сплавы,Аммиак,Ангидрид сернистый,Ангидрид хромовый,Ацетон,Ацетальдегид,Бензин,Бутилацетат,Водорода хлорид,Водород фтористий (в пересчете на F),Дивинил,Электрокорунд, электрокорунд хромистый,Этилацетат ,Этилена оксид,"&amp;"Капролактам ,Кислота уксусная,Кислота серная,Ксилол (мета-,орто-, пара-),Медь,Марганца оксиды (в пересчете на MnO2) аэрозоль конденсации,Масла минеральные нефтяные,Никеля соли в виде гидроаэрозоля (по Ni),Никель, никеля оксиды, сульфиды и смеси соединений"&amp;" никеля (файнштейн, никелевый концентрат и агломерат, оборотная пыль очистных устройств (по Ni)
,Озон,Свинец и его неорганические соединения (по свинцу),Спирт н-бутиловый, бутиловый вторичный и третичный
,Спирт метиловий,Толуол,Углеводороды алифатические "&amp;"предельные,Углерода оксид,Фенол,Формальдегид,Хлор,Хрома оксид (по Cr+3),Цинка оксид,Щелочи едкие (растворы в перерасчете на NaOH),Марганець в сварочном аэрозоле: (до 20% и 20-30%),Известняк,Корунд белый,Кремния диоксид аморфный в виде аэрозоля конденсации"&amp;" при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аморфный в виде аэрозоля дезинтеграции (диатомит, квар"&amp;"цевое стекло, плавленый кварц, трепел);,Кремния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слюда-сирец"&amp;", углепородная пыль и др.),Кремния диоксид кристаллический при содержании в пыле от 2 до 10 % (горючие кукерситные сланцы, медно сульфидные руды и др.),Кремния карбид (карборунд).,Чугун в смесе с електрокорундом до 20%,Шамотнографитовые огнеупоры,Зерновая"&amp;",Мучная,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"&amp;"примесью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цветной,Асбестобакелит"&amp;",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струк"&amp;"туры,Цемент, оливин, апатит, форстерит, глина, шамот каолиновый,Цеолиты (природные и искусственные)
,Коксы каменноугольный, пековый, нефтяной, сланцевый,Антрацит с содержанием свободного диоксида кремния до 5 %,Другие ископаемые угли и углеродные пыли с с"&amp;"одержанием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воло"&amp;"кон,Углеродные волокнистые материалы на основе гидрат полиакрилонитрильных волокон")</f>
        <v>Азота диоксид,Акролеин,Алюминий и його сплавы,Аммиак,Ангидрид сернистый,Ангидрид хромовый,Ацетон,Ацетальдегид,Бензин,Бутилацетат,Водорода хлорид,Водород фтористий (в пересчете на F),Дивинил,Электрокорунд, электрокорунд хромистый,Этилацетат ,Этилена оксид,Капролактам ,Кислота уксусная,Кислота серная,Ксилол (мета-,орто-, пара-),Медь,Марганца оксиды (в пересчете на MnO2) аэрозоль конденсации,Масла минеральные нефтяные,Никеля соли в виде гидроаэрозоля (по Ni),Никель, никеля оксиды, сульфиды и смеси соединений никеля (файнштейн, никелевый концентрат и агломерат, оборотная пыль очистных устройств (по Ni)
,Озон,Свинец и его неорганические соединения (по свинцу),Спирт н-бутиловый, бутиловый вторичный и третичный
,Спирт метиловий,Толуол,Углеводороды алифатические предельные,Углерода оксид,Фенол,Формальдегид,Хлор,Хрома оксид (по Cr+3),Цинка оксид,Щелочи едкие (растворы в перерасчете на NaOH),Марганець в сварочном аэрозоле: (до 20% и 20-30%),Известняк,Корунд белый,Кремния диоксид аморфный в виде аэрозоля конденсации при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аморфный в виде аэрозоля дезинтеграции (диатомит, кварцевое стекло, плавленый кварц, трепел);,Кремния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др.),Кремния карбид (карборунд).,Чугун в смесе с електрокорундом до 20%,Шамотнографитовые огнеупоры,Зерновая,Мучная,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v>
      </c>
      <c r="I136" s="17" t="str">
        <f>IFERROR(__xludf.DUMMYFUNCTION("""COMPUTED_VALUE"""),"")</f>
        <v/>
      </c>
      <c r="J136" s="17" t="str">
        <f>IFERROR(__xludf.DUMMYFUNCTION("""COMPUTED_VALUE"""),"Важкість праці,Напруженість праці")</f>
        <v>Важкість праці,Напруженість праці</v>
      </c>
      <c r="K136" s="18">
        <f>IFERROR(__xludf.DUMMYFUNCTION("""COMPUTED_VALUE"""),43588.0)</f>
        <v>43588</v>
      </c>
      <c r="L136" s="18" t="str">
        <f>IFERROR(__xludf.DUMMYFUNCTION("""COMPUTED_VALUE"""),"")</f>
        <v/>
      </c>
    </row>
    <row r="137">
      <c r="A137" s="11">
        <f t="shared" si="1"/>
        <v>134</v>
      </c>
      <c r="B137" s="16" t="str">
        <f>IFERROR(__xludf.DUMMYFUNCTION("""COMPUTED_VALUE"""),"АТ ""Запорізький завод феросплавів""")</f>
        <v>АТ "Запорізький завод феросплавів"</v>
      </c>
      <c r="C137" s="16" t="str">
        <f>IFERROR(__xludf.DUMMYFUNCTION("""COMPUTED_VALUE"""),"Запорізька")</f>
        <v>Запорізька</v>
      </c>
      <c r="D137" s="16" t="str">
        <f>IFERROR(__xludf.DUMMYFUNCTION("""COMPUTED_VALUE"""),"Запоріжжя")</f>
        <v>Запоріжжя</v>
      </c>
      <c r="E137" s="16" t="str">
        <f>IFERROR(__xludf.DUMMYFUNCTION("""COMPUTED_VALUE"""),"вул. Діагональна, 11")</f>
        <v>вул. Діагональна, 11</v>
      </c>
      <c r="F137" s="17" t="str">
        <f>IFERROR(__xludf.DUMMYFUNCTION("""COMPUTED_VALUE"""),"061-700-47-22")</f>
        <v>061-700-47-22</v>
      </c>
      <c r="G137" s="17" t="str">
        <f>IFERROR(__xludf.DUMMYFUNCTION("""COMPUTED_VALUE"""),"Вібрація загальна та локальна,Шум,Інфразвук,Неіонізуюче випромінювання,Мікроклімат,Освітлення")</f>
        <v>Вібрація загальна та локальна,Шум,Інфразвук,Неіонізуюче випромінювання,Мікроклімат,Освітлення</v>
      </c>
      <c r="H137" s="17" t="str">
        <f>IFERROR(__xludf.DUMMYFUNCTION("""COMPUTED_VALUE"""),"")</f>
        <v/>
      </c>
      <c r="I137" s="17" t="str">
        <f>IFERROR(__xludf.DUMMYFUNCTION("""COMPUTED_VALUE"""),"")</f>
        <v/>
      </c>
      <c r="J137" s="17" t="str">
        <f>IFERROR(__xludf.DUMMYFUNCTION("""COMPUTED_VALUE"""),"Важкість праці,Напруженість праці")</f>
        <v>Важкість праці,Напруженість праці</v>
      </c>
      <c r="K137" s="18">
        <f>IFERROR(__xludf.DUMMYFUNCTION("""COMPUTED_VALUE"""),43588.0)</f>
        <v>43588</v>
      </c>
      <c r="L137" s="18" t="str">
        <f>IFERROR(__xludf.DUMMYFUNCTION("""COMPUTED_VALUE"""),"")</f>
        <v/>
      </c>
    </row>
    <row r="138">
      <c r="A138" s="11">
        <f t="shared" si="1"/>
        <v>135</v>
      </c>
      <c r="B138" s="16" t="str">
        <f>IFERROR(__xludf.DUMMYFUNCTION("""COMPUTED_VALUE"""),"ДУ ""Волинський обласний лабораторний центр МОЗ України""")</f>
        <v>ДУ "Волинський обласний лабораторний центр МОЗ України"</v>
      </c>
      <c r="C138" s="16" t="str">
        <f>IFERROR(__xludf.DUMMYFUNCTION("""COMPUTED_VALUE"""),"Волинська")</f>
        <v>Волинська</v>
      </c>
      <c r="D138" s="16" t="str">
        <f>IFERROR(__xludf.DUMMYFUNCTION("""COMPUTED_VALUE"""),"Луцьк")</f>
        <v>Луцьк</v>
      </c>
      <c r="E138" s="16" t="str">
        <f>IFERROR(__xludf.DUMMYFUNCTION("""COMPUTED_VALUE"""),"просп. Волі, 55")</f>
        <v>просп. Волі, 55</v>
      </c>
      <c r="F138" s="17" t="str">
        <f>IFERROR(__xludf.DUMMYFUNCTION("""COMPUTED_VALUE"""),"0332-757-576     0332-757-566        0332-757-780")</f>
        <v>0332-757-576     0332-757-566        0332-757-780</v>
      </c>
      <c r="G138" s="17" t="str">
        <f>IFERROR(__xludf.DUMMYFUNCTION("""COMPUTED_VALUE"""),"Вібрація загальна та локальна,Шум,Неіонізуюче випромінювання,Мікроклімат,Освітлення")</f>
        <v>Вібрація загальна та локальна,Шум,Неіонізуюче випромінювання,Мікроклімат,Освітлення</v>
      </c>
      <c r="H138" s="17" t="str">
        <f>IFERROR(__xludf.DUMMYFUNCTION("""COMPUTED_VALUE"""),"Азота диоксид,Азота оксид (IV) в перерарасчете на (NO2),Аминопласты (пресс-порошки),Аммиак,Ангидрид сернистый,Ангидрид фосфорный,Ангидрид хромовый,Ацетон,Бензин,Бензол,Бутилацетат,Винилацетат,Водорода хлорид,Гексаметилендиамин,Дибутилфталат,Электрокорунд,"&amp;" электрокорунд хромистый,Эпихлоргидрин,Этилендиамин,Этилацетат ,Капролактам ,Капрон,Кислота уксусная,Керамика,Кислота серная,Лавсан,Ксилол (мета-,орто-, пара-),Медь,Марганца оксиды (в пересчете на MnO2) аэрозоль конденсации,Масла минеральные нефтяные,Натр"&amp;"ия хлорид,Нитрон,Никель, никеля оксиды, сульфиды и смеси соединений никеля (файнштейн, никелевый концентрат и агломерат, оборотная пыль очистных устройств (по Ni)
,Ртуть,Сероводород,Свинец и его неорганические соединения (по свинцу),Сода кальцинированная,"&amp;"Спирт этиловий,Толуол,Углерода оксид,Фенол,Формальдегид,Фенопласты,Фторопласт-4,Хлор,Хрома оксид (по Cr+3),Хрома оксид (по Cr+6),Цинка оксид,Щелочи едкие (растворы в перерасчете на NaOH),Марганець в сварочном аэрозоле: (до 20% и 20-30%),Вискоза-77,Железны"&amp;"й агломерат,Известняк,Корунд белый,Чугун в смесе с електрокорундом до 20%,Зерновая,Асбестопородные пыли при содержании в них асбеста до 10 %,Асбестобакелит, асбесторезина,Искусственные минеральные волокна силикатные и алюмосиликатные стеклообразной структ"&amp;"уры,Цемент, оливин, апатит, форстерит, глина, шамот каолиновый,Коксы каменноугольный, пековый, нефтяной, сланцевый,Углеродные волокнистые материалы на основе гидрат целлюлозных волокон,Углеродные волокнистые материалы на основе гидрат полиакрилонитрильных"&amp;" волокон")</f>
        <v>Азота диоксид,Азота оксид (IV) в перерарасчете на (NO2),Аминопласты (пресс-порошки),Аммиак,Ангидрид сернистый,Ангидрид фосфорный,Ангидрид хромовый,Ацетон,Бензин,Бензол,Бутилацетат,Винилацетат,Водорода хлорид,Гексаметилендиамин,Дибутилфталат,Электрокорунд, электрокорунд хромистый,Эпихлоргидрин,Этилендиамин,Этилацетат ,Капролактам ,Капрон,Кислота уксусная,Керамика,Кислота серная,Лавсан,Ксилол (мета-,орто-, пара-),Медь,Марганца оксиды (в пересчете на MnO2) аэрозоль конденсации,Масла минеральные нефтяные,Натрия хлорид,Нитрон,Никель, никеля оксиды, сульфиды и смеси соединений никеля (файнштейн, никелевый концентрат и агломерат, оборотная пыль очистных устройств (по Ni)
,Ртуть,Сероводород,Свинец и его неорганические соединения (по свинцу),Сода кальцинированная,Спирт этиловий,Толуол,Углерода оксид,Фенол,Формальдегид,Фенопласты,Фторопласт-4,Хлор,Хрома оксид (по Cr+3),Хрома оксид (по Cr+6),Цинка оксид,Щелочи едкие (растворы в перерасчете на NaOH),Марганець в сварочном аэрозоле: (до 20% и 20-30%),Вискоза-77,Железный агломерат,Известняк,Корунд белый,Чугун в смесе с електрокорундом до 20%,Зерновая,Асбестопородные пыли при содержании в них асбеста до 10 %,Асбестобакелит, асбесторезина,Искусственные минеральные волокна силикатные и алюмосиликатные стеклообразной структуры,Цемент, оливин, апатит, форстерит, глина, шамот каолиновый,Коксы каменноугольный, пековый, нефтяной, сланцевый,Углеродные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v>
      </c>
      <c r="I138" s="17" t="str">
        <f>IFERROR(__xludf.DUMMYFUNCTION("""COMPUTED_VALUE"""),"")</f>
        <v/>
      </c>
      <c r="J138" s="17" t="str">
        <f>IFERROR(__xludf.DUMMYFUNCTION("""COMPUTED_VALUE"""),"Важкість праці,Напруженість праці")</f>
        <v>Важкість праці,Напруженість праці</v>
      </c>
      <c r="K138" s="18">
        <f>IFERROR(__xludf.DUMMYFUNCTION("""COMPUTED_VALUE"""),43608.0)</f>
        <v>43608</v>
      </c>
      <c r="L138" s="18" t="str">
        <f>IFERROR(__xludf.DUMMYFUNCTION("""COMPUTED_VALUE"""),"")</f>
        <v/>
      </c>
    </row>
    <row r="139">
      <c r="A139" s="11">
        <f t="shared" si="1"/>
        <v>136</v>
      </c>
      <c r="B139" s="16" t="str">
        <f>IFERROR(__xludf.DUMMYFUNCTION("""COMPUTED_VALUE"""),"ПрАТ ""Дніпровський металургійний завод""  лабораторія санітарна")</f>
        <v>ПрАТ "Дніпровський металургійний завод"  лабораторія санітарна</v>
      </c>
      <c r="C139" s="16" t="str">
        <f>IFERROR(__xludf.DUMMYFUNCTION("""COMPUTED_VALUE"""),"Дніпропетровська")</f>
        <v>Дніпропетровська</v>
      </c>
      <c r="D139" s="16" t="str">
        <f>IFERROR(__xludf.DUMMYFUNCTION("""COMPUTED_VALUE"""),"Дніпро")</f>
        <v>Дніпро</v>
      </c>
      <c r="E139" s="16" t="str">
        <f>IFERROR(__xludf.DUMMYFUNCTION("""COMPUTED_VALUE"""),"вул. Маяковського, 3")</f>
        <v>вул. Маяковського, 3</v>
      </c>
      <c r="F139" s="17" t="str">
        <f>IFERROR(__xludf.DUMMYFUNCTION("""COMPUTED_VALUE"""),"056-794-73-79")</f>
        <v>056-794-73-79</v>
      </c>
      <c r="G139" s="17" t="str">
        <f>IFERROR(__xludf.DUMMYFUNCTION("""COMPUTED_VALUE"""),"Вібрація загальна та локальна,Шум,Інфразвук,Мікроклімат,Освітлення,Атмосферний тиск")</f>
        <v>Вібрація загальна та локальна,Шум,Інфразвук,Мікроклімат,Освітлення,Атмосферний тиск</v>
      </c>
      <c r="H139" s="17" t="str">
        <f>IFERROR(__xludf.DUMMYFUNCTION("""COMPUTED_VALUE"""),"Азота диоксид,Алюминий и його сплавы,Аммиак,Ангидрид сернистый,Ангидрид фосфорный,Ангидрид хромовый,Ацетон,Бензол,Водорода хлорид,Водорода цианид,Дистенсиллиманит,Электрокорунд, электрокорунд хромистый,Кислота серная,Ксилол (мета-,орто-, пара-),Медь,Марга"&amp;"нца оксиды (в пересчете на MnO2) аэрозоль дезинтеграции,Масла минеральные нефтяные,1-Метилнафталин, 2-Метилнафталин,Нафталин,Никель, никеля оксиды, сульфиды и смеси соединений никеля (файнштейн, никелевый концентрат и агломерат, оборотная пыль очистных ус"&amp;"тройств (по Ni)
,Озон,Сера элементарная,Сероводород,Сероуглерод,Свинец и его неорганические соединения (по свинцу),Сода кальцинированная,Толуол,Углерода оксид,Фенол,Формальдегид,Фенолформальдегидные смолы формальдегиду,Цинка оксид,Щелочи едкие (растворы в"&amp;" перерасчете на NaOH),Марганець в сварочном аэрозоле: (до 20% и 20-30%),Железный агломерат,Железорудные окатыши,Известняк,Кремния диоксид аморфный в виде аэрозоля конденсации при содержании: больше 60 %,Кремния диоксид аморфный в виде аэрозоля конденсации"&amp;" при содержании 60-10 %,Кремния диоксид аморфный в виде аэрозоля конденсации при содержании меньше 10 %,Кремния диоксид аморфный в виде аэрозоля дезинтеграции (диатомит, кварцевое стекло, плавленый кварц, трепел);,Кремния диоксид кристаллический (кварц, к"&amp;"ристобелит,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"&amp;"от 2 до 10 % (горючие кукерситные сланцы, медно сульфидные руды и др.),Кремния карбид (карборунд).,Магнезит,Чугун в смесе с електрокорундом до 20%,Шамотнографитовые огнеупоры,Зерновая,Мучная, древесная и др. (с примесью диоксида кремния меньше 2 %),Лубяна"&amp;"я,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10 %),Силикатсодержащие пыли, силикаты"&amp;", алюмосиликаты при содержанииасбеста от 10 до 20%
,Силикатсодержащие пыли, силикаты, алюмосиликаты асбесты природные (хризолит, актофиллит, эктинолит, тремолит, магнезиарфведсонит) и синтетическиеасбесты, а такжесмешанныеасбестопородныепыли при содержани"&amp;"и в них асбестаболее 20%;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кремния,Иску"&amp;"сственные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сланцевый,Антрацит с содержанием "&amp;"свободного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3"&amp;"5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f>
        <v>Азота диоксид,Алюминий и його сплавы,Аммиак,Ангидрид сернистый,Ангидрид фосфорный,Ангидрид хромовый,Ацетон,Бензол,Водорода хлорид,Водорода цианид,Дистенсиллиманит,Электрокорунд, электрокорунд хромистый,Кислота серная,Ксилол (мета-,орто-, пара-),Медь,Марганца оксиды (в пересчете на MnO2) аэрозоль дезинтеграции,Масла минеральные нефтяные,1-Метилнафталин, 2-Метилнафталин,Нафталин,Никель, никеля оксиды, сульфиды и смеси соединений никеля (файнштейн, никелевый концентрат и агломерат, оборотная пыль очистных устройств (по Ni)
,Озон,Сера элементарная,Сероводород,Сероуглерод,Свинец и его неорганические соединения (по свинцу),Сода кальцинированная,Толуол,Углерода оксид,Фенол,Формальдегид,Фенолформальдегидные смолы формальдегиду,Цинка оксид,Щелочи едкие (растворы в перерасчете на NaOH),Марганець в сварочном аэрозоле: (до 20% и 20-30%),Железный агломерат,Железорудные окатыши,Известняк,Кремния диоксид аморфный в виде аэрозоля конденсации при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аморфный в виде аэрозоля дезинтеграции (диатомит, кварцевое стекло, плавленый кварц, трепел);,Кремния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др.),Кремния карбид (карборунд).,Магнезит,Чугун в смесе с електрокорундом до 20%,Шамотнографитовые огнеупоры,Зерновая,Мучная,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10 %),Силикатсодержащие пыли, силикаты, алюмосиликаты при содержанииасбеста от 10 до 20%
,Силикатсодержащие пыли, силикаты, алюмосиликаты асбесты природные (хризолит, актофиллит, эктинолит, тремолит, магнезиарфведсонит) и синтетическиеасбесты, а такжесмешанныеасбестопородныепыли при содержании в них асбестаболее 20%;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v>
      </c>
      <c r="I139" s="17" t="str">
        <f>IFERROR(__xludf.DUMMYFUNCTION("""COMPUTED_VALUE"""),"")</f>
        <v/>
      </c>
      <c r="J139" s="17" t="str">
        <f>IFERROR(__xludf.DUMMYFUNCTION("""COMPUTED_VALUE"""),"Важкість праці,Напруженість праці")</f>
        <v>Важкість праці,Напруженість праці</v>
      </c>
      <c r="K139" s="18">
        <f>IFERROR(__xludf.DUMMYFUNCTION("""COMPUTED_VALUE"""),43605.0)</f>
        <v>43605</v>
      </c>
      <c r="L139" s="18" t="str">
        <f>IFERROR(__xludf.DUMMYFUNCTION("""COMPUTED_VALUE"""),"")</f>
        <v/>
      </c>
    </row>
    <row r="140">
      <c r="A140" s="11">
        <f t="shared" si="1"/>
        <v>137</v>
      </c>
      <c r="B140" s="16" t="str">
        <f>IFERROR(__xludf.DUMMYFUNCTION("""COMPUTED_VALUE"""),"НВПП ""Еко-ЦЕНТР""")</f>
        <v>НВПП "Еко-ЦЕНТР"</v>
      </c>
      <c r="C140" s="16" t="str">
        <f>IFERROR(__xludf.DUMMYFUNCTION("""COMPUTED_VALUE"""),"Полтавська")</f>
        <v>Полтавська</v>
      </c>
      <c r="D140" s="16" t="str">
        <f>IFERROR(__xludf.DUMMYFUNCTION("""COMPUTED_VALUE"""),"Полтава")</f>
        <v>Полтава</v>
      </c>
      <c r="E140" s="16" t="str">
        <f>IFERROR(__xludf.DUMMYFUNCTION("""COMPUTED_VALUE"""),"вул. Ковпака, 21")</f>
        <v>вул. Ковпака, 21</v>
      </c>
      <c r="F140" s="17" t="str">
        <f>IFERROR(__xludf.DUMMYFUNCTION("""COMPUTED_VALUE"""),"0572-50-82-73     0572-61-16-46")</f>
        <v>0572-50-82-73     0572-61-16-46</v>
      </c>
      <c r="G140" s="17" t="str">
        <f>IFERROR(__xludf.DUMMYFUNCTION("""COMPUTED_VALUE"""),"Вібрація загальна та локальна,Шум,Неіонізуюче випромінювання,Мікроклімат,Освітлення")</f>
        <v>Вібрація загальна та локальна,Шум,Неіонізуюче випромінювання,Мікроклімат,Освітлення</v>
      </c>
      <c r="H140" s="17" t="str">
        <f>IFERROR(__xludf.DUMMYFUNCTION("""COMPUTED_VALUE"""),"Азота диоксид,Акролеин,Амилацетат,Аммиак,Ангидрид сернистый,Ангидрид фосфорный,Ангидрид хромовый,Ацетон,Бензин,Бензол,Бутилацетат,Винилацетат,Водорода хлорид,Водород фтористий (в пересчете на F),Гексан,Изобутилен,Электрокорунд, электрокорунд хромистый,Эпи"&amp;"хлоргидрин,Этилен,Этилацетат ,Этилена оксид,Капролактам ,Кислота уксусная,Керосин,Кислота серная,Ксилол (мета-,орто-, пара-),Медь,Марганца оксиды (в пересчете на MnO2) аэрозоль дезинтеграции,Марганца оксиды (в пересчете на MnO2) аэрозоль конденсации,Масла"&amp;" минеральные нефтяные,Никеля соли в виде гидроаэрозоля (по Ni),Никель, никеля оксиды, сульфиды и смеси соединений никеля (файнштейн, никелевый концентрат и агломерат, оборотная пыль очистных устройств (по Ni)
,Сероводород,Свинец и его неорганические соеди"&amp;"нения (по свинцу),Синтетические моющие средства „Лотос”,”Ера”,”Ока” ,Спирт этиловий,Спирт метиловий,Стирол,Толуол,Углеводороды алифатические предельные,Углерода оксид,Фенол,Формальдегид,Хлор,Хрома оксид (по Cr+3),Цинка оксид,Щелочи едкие (растворы в перер"&amp;"асчете на NaOH),Алюминия оксид в виде аэрозоля дезинтеграции (глинозем, электрокорунд, монокорунд),Алюминия оксид с примесью свободного диоксида кремния до 15% и оксида железа до 10% ( в виде аерозоля конденсации),Алюминия оксид с примесью диоксида кремни"&amp;"я ( в виде аерозоля конденсации),Марганець в сварочном аэрозоле: (до 20% и 20-30%),Железный агломерат,Железорудные окатыши,Известняк,Корунд белый,Кремния диоксид аморфный в виде аэрозоля конденсации при содержании: больше 60 %,Кремния диоксид аморфный в в"&amp;"иде аэрозоля конденсации при содержании 60-10 %,Кремния диоксид аморфный в виде аэрозоля конденсации при содержании меньше 10 %,Кремния диоксид аморфный в виде аэрозоля дезинтеграции (диатомит, кварцевое стекло, плавленый кварц, трепел);,Кремния диоксид к"&amp;"ристаллический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кристаллически"&amp;"й при содержании в пыле от 2 до 10 % (горючие кукерситные сланцы, медно сульфидные руды и др.),Кремния карбид (карборунд).,Чугун в смесе с електрокорундом до 20%,Шамотнографитовые огнеупоры,Зерновая,Мучная, древесная и др. (с примесью диоксида кремния мен"&amp;"ьше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"&amp;"и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пр"&amp;"оисхождения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каол"&amp;"иновый,Цеолиты (природные и искусственные)
,Табак,Коксы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5%"&amp;"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гидр"&amp;"ат полиакрилонитрильных волокон")</f>
        <v>Азота диоксид,Акролеин,Амилацетат,Аммиак,Ангидрид сернистый,Ангидрид фосфорный,Ангидрид хромовый,Ацетон,Бензин,Бензол,Бутилацетат,Винилацетат,Водорода хлорид,Водород фтористий (в пересчете на F),Гексан,Изобутилен,Электрокорунд, электрокорунд хромистый,Эпихлоргидрин,Этилен,Этилацетат ,Этилена оксид,Капролактам ,Кислота уксусная,Керосин,Кислота серная,Ксилол (мета-,орто-, пара-),Медь,Марганца оксиды (в пересчете на MnO2) аэрозоль дезинтеграции,Марганца оксиды (в пересчете на MnO2) аэрозоль конденсации,Масла минеральные нефтяные,Никеля соли в виде гидроаэрозоля (по Ni),Никель, никеля оксиды, сульфиды и смеси соединений никеля (файнштейн, никелевый концентрат и агломерат, оборотная пыль очистных устройств (по Ni)
,Сероводород,Свинец и его неорганические соединения (по свинцу),Синтетические моющие средства „Лотос”,”Ера”,”Ока” ,Спирт этиловий,Спирт метиловий,Стирол,Толуол,Углеводороды алифатические предельные,Углерода оксид,Фенол,Формальдегид,Хлор,Хрома оксид (по Cr+3),Цинка оксид,Щелочи едкие (растворы в перерасчете на NaOH),Алюминия оксид в виде аэрозоля дезинтеграции (глинозем, электрокорунд, монокорунд),Алюминия оксид с примесью свободного диоксида кремния до 15% и оксида железа до 10% ( в виде аерозоля конденсации),Алюминия оксид с примесью диоксида кремния ( в виде аерозоля конденсации),Марганець в сварочном аэрозоле: (до 20% и 20-30%),Железный агломерат,Железорудные окатыши,Известняк,Корунд белый,Кремния диоксид аморфный в виде аэрозоля конденсации при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аморфный в виде аэрозоля дезинтеграции (диатомит, кварцевое стекло, плавленый кварц, трепел);,Кремния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др.),Кремния карбид (карборунд).,Чугун в смесе с електрокорундом до 20%,Шамотнографитовые огнеупоры,Зерновая,Мучная,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,Табак,Коксы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v>
      </c>
      <c r="I140" s="17" t="str">
        <f>IFERROR(__xludf.DUMMYFUNCTION("""COMPUTED_VALUE"""),"")</f>
        <v/>
      </c>
      <c r="J140" s="17" t="str">
        <f>IFERROR(__xludf.DUMMYFUNCTION("""COMPUTED_VALUE"""),"Важкість праці,Напруженість праці")</f>
        <v>Важкість праці,Напруженість праці</v>
      </c>
      <c r="K140" s="18">
        <f>IFERROR(__xludf.DUMMYFUNCTION("""COMPUTED_VALUE"""),43605.0)</f>
        <v>43605</v>
      </c>
      <c r="L140" s="18" t="str">
        <f>IFERROR(__xludf.DUMMYFUNCTION("""COMPUTED_VALUE"""),"")</f>
        <v/>
      </c>
    </row>
    <row r="141">
      <c r="A141" s="11">
        <f t="shared" si="1"/>
        <v>138</v>
      </c>
      <c r="B141" s="16" t="str">
        <f>IFERROR(__xludf.DUMMYFUNCTION("""COMPUTED_VALUE"""),"ДУ ""Вінницький обласний лабораторний центр МОЗ України""")</f>
        <v>ДУ "Вінницький обласний лабораторний центр МОЗ України"</v>
      </c>
      <c r="C141" s="16" t="str">
        <f>IFERROR(__xludf.DUMMYFUNCTION("""COMPUTED_VALUE"""),"Вінницька")</f>
        <v>Вінницька</v>
      </c>
      <c r="D141" s="16" t="str">
        <f>IFERROR(__xludf.DUMMYFUNCTION("""COMPUTED_VALUE"""),"Вінниця")</f>
        <v>Вінниця</v>
      </c>
      <c r="E141" s="16" t="str">
        <f>IFERROR(__xludf.DUMMYFUNCTION("""COMPUTED_VALUE"""),"вул. Маліновського, 11")</f>
        <v>вул. Маліновського, 11</v>
      </c>
      <c r="F141" s="17" t="str">
        <f>IFERROR(__xludf.DUMMYFUNCTION("""COMPUTED_VALUE"""),"0432-56-22-78         0432-68-32-95")</f>
        <v>0432-56-22-78         0432-68-32-95</v>
      </c>
      <c r="G141" s="17" t="str">
        <f>IFERROR(__xludf.DUMMYFUNCTION("""COMPUTED_VALUE"""),"Вібрація загальна та локальна,Шум,Інфразвук,Неіонізуюче випромінювання,Мікроклімат,Освітлення")</f>
        <v>Вібрація загальна та локальна,Шум,Інфразвук,Неіонізуюче випромінювання,Мікроклімат,Освітлення</v>
      </c>
      <c r="H141" s="17" t="str">
        <f>IFERROR(__xludf.DUMMYFUNCTION("""COMPUTED_VALUE"""),"Азота диоксид,Азота оксид (IV) в перерарасчете на (NO2),Акролеин,Аммиак,Ангидрид сернистый,Ангидрид фосфорный,Ангидрид хромовый,Ацетон,Ацетальдегид,Бензин,Бензол,Бутилацетат,Водорода хлорид,Водород мышьяковистый (арсин),Водород фосфористый (фосфин),Водоро"&amp;"д фтористий (в пересчете на F),Диэтиловый эфир,Этилацетат ,Кислота уксусная,Кислота серная,Ксилол (мета-,орто-, пара-),Медь,Марганца оксиды (в пересчете на MnO2) аэрозоль дезинтеграции,Никель, никеля оксиды, сульфиды и смеси соединений никеля (файнштейн, "&amp;"никелевый концентрат и агломерат, оборотная пыль очистных устройств (по Ni)
,Озон,Ртуть,Сероводород,Свинец и его неорганические соединения (по свинцу),Сода кальцинированная,Спирт н-бутиловый, бутиловый вторичный и третичный
,Спирт этиловий,Спирт метиловий"&amp;",Стирол,Толуол,Уайт-спирит (в пересчете на С),Фенол,Формальдегид,Хлор,Хрома оксид (по Cr+3),Цинка оксид,Щелочи едкие (растворы в перерасчете на NaOH),Марганець в сварочном аэрозоле: (до 20% и 20-30%),Кремния диоксид аморфный в виде аэрозоля конденсации пр"&amp;"и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аморфный в виде аэрозоля дезинтеграции (диатомит, кварцев"&amp;"ое стекло, плавленый кварц, трепел);,Кремния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у"&amp;"глепородная пыль и др.),Кремния диоксид кристаллический при содержании в пыле от 2 до 10 % (горючие кукерситные сланцы, медно сульфидные руды и др.),Зерновая,Мучная, древесная и др. (с примесью диоксида кремния меньше 2 %),Лубяная, хлопчато-бумажная, хлоп"&amp;"ковая,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асбестопородны"&amp;"е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,Слюды,"&amp;"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искусственные"&amp;")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"&amp;"металлизированый,Сажи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волокон,Хлорорганічні,Ф"&amp;"осфорорганічні,Синтетичні піретроїди,Протруювачі зерна")</f>
        <v>Азота диоксид,Азота оксид (IV) в перерарасчете на (NO2),Акролеин,Аммиак,Ангидрид сернистый,Ангидрид фосфорный,Ангидрид хромовый,Ацетон,Ацетальдегид,Бензин,Бензол,Бутилацетат,Водорода хлорид,Водород мышьяковистый (арсин),Водород фосфористый (фосфин),Водород фтористий (в пересчете на F),Диэтиловый эфир,Этилацетат ,Кислота уксусная,Кислота серная,Ксилол (мета-,орто-, пара-),Медь,Марганца оксиды (в пересчете на MnO2) аэрозоль дезинтеграции,Никель, никеля оксиды, сульфиды и смеси соединений никеля (файнштейн, никелевый концентрат и агломерат, оборотная пыль очистных устройств (по Ni)
,Озон,Ртуть,Сероводород,Свинец и его неорганические соединения (по свинцу),Сода кальцинированная,Спирт н-бутиловый, бутиловый вторичный и третичный
,Спирт этиловий,Спирт метиловий,Стирол,Толуол,Уайт-спирит (в пересчете на С),Фенол,Формальдегид,Хлор,Хрома оксид (по Cr+3),Цинка оксид,Щелочи едкие (растворы в перерасчете на NaOH),Марганець в сварочном аэрозоле: (до 20% и 20-30%),Кремния диоксид аморфный в виде аэрозоля конденсации при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аморфный в виде аэрозоля дезинтеграции (диатомит, кварцевое стекло, плавленый кварц, трепел);,Кремния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волокон,Хлорорганічні,Фосфорорганічні,Синтетичні піретроїди,Протруювачі зерна</v>
      </c>
      <c r="I141" s="17" t="str">
        <f>IFERROR(__xludf.DUMMYFUNCTION("""COMPUTED_VALUE"""),"")</f>
        <v/>
      </c>
      <c r="J141" s="17" t="str">
        <f>IFERROR(__xludf.DUMMYFUNCTION("""COMPUTED_VALUE"""),"Важкість праці,Напруженість праці")</f>
        <v>Важкість праці,Напруженість праці</v>
      </c>
      <c r="K141" s="18">
        <f>IFERROR(__xludf.DUMMYFUNCTION("""COMPUTED_VALUE"""),43619.0)</f>
        <v>43619</v>
      </c>
      <c r="L141" s="18" t="str">
        <f>IFERROR(__xludf.DUMMYFUNCTION("""COMPUTED_VALUE"""),"")</f>
        <v/>
      </c>
    </row>
    <row r="142">
      <c r="A142" s="11">
        <f t="shared" si="1"/>
        <v>139</v>
      </c>
      <c r="B142" s="16" t="str">
        <f>IFERROR(__xludf.DUMMYFUNCTION("""COMPUTED_VALUE"""),"ТОВ «НВП «Індастріал Лаб»")</f>
        <v>ТОВ «НВП «Індастріал Лаб»</v>
      </c>
      <c r="C142" s="16" t="str">
        <f>IFERROR(__xludf.DUMMYFUNCTION("""COMPUTED_VALUE"""),"Дніпропетровська")</f>
        <v>Дніпропетровська</v>
      </c>
      <c r="D142" s="16" t="str">
        <f>IFERROR(__xludf.DUMMYFUNCTION("""COMPUTED_VALUE"""),"Дніпро")</f>
        <v>Дніпро</v>
      </c>
      <c r="E142" s="16" t="str">
        <f>IFERROR(__xludf.DUMMYFUNCTION("""COMPUTED_VALUE"""),"вул. Богдана Хмельницького, 14")</f>
        <v>вул. Богдана Хмельницького, 14</v>
      </c>
      <c r="F142" s="17" t="str">
        <f>IFERROR(__xludf.DUMMYFUNCTION("""COMPUTED_VALUE"""),"066-065-97-93")</f>
        <v>066-065-97-93</v>
      </c>
      <c r="G142" s="17" t="str">
        <f>IFERROR(__xludf.DUMMYFUNCTION("""COMPUTED_VALUE"""),"Вібрація загальна та локальна,Шум,Інфразвук,Мікроклімат,Освітлення")</f>
        <v>Вібрація загальна та локальна,Шум,Інфразвук,Мікроклімат,Освітлення</v>
      </c>
      <c r="H142" s="17" t="str">
        <f>IFERROR(__xludf.DUMMYFUNCTION("""COMPUTED_VALUE"""),"")</f>
        <v/>
      </c>
      <c r="I142" s="17" t="str">
        <f>IFERROR(__xludf.DUMMYFUNCTION("""COMPUTED_VALUE"""),"")</f>
        <v/>
      </c>
      <c r="J142" s="17" t="str">
        <f>IFERROR(__xludf.DUMMYFUNCTION("""COMPUTED_VALUE"""),"Важкість праці,Напруженість праці")</f>
        <v>Важкість праці,Напруженість праці</v>
      </c>
      <c r="K142" s="18">
        <f>IFERROR(__xludf.DUMMYFUNCTION("""COMPUTED_VALUE"""),43609.0)</f>
        <v>43609</v>
      </c>
      <c r="L142" s="18" t="str">
        <f>IFERROR(__xludf.DUMMYFUNCTION("""COMPUTED_VALUE"""),"")</f>
        <v/>
      </c>
    </row>
    <row r="143">
      <c r="A143" s="11">
        <f t="shared" si="1"/>
        <v>140</v>
      </c>
      <c r="B143" s="16" t="str">
        <f>IFERROR(__xludf.DUMMYFUNCTION("""COMPUTED_VALUE"""),"Миколаївська філія ДП ""Чорноморський експертно-технічний центр Держпраці""")</f>
        <v>Миколаївська філія ДП "Чорноморський експертно-технічний центр Держпраці"</v>
      </c>
      <c r="C143" s="16" t="str">
        <f>IFERROR(__xludf.DUMMYFUNCTION("""COMPUTED_VALUE"""),"Херсонська")</f>
        <v>Херсонська</v>
      </c>
      <c r="D143" s="16" t="str">
        <f>IFERROR(__xludf.DUMMYFUNCTION("""COMPUTED_VALUE"""),"Херсон")</f>
        <v>Херсон</v>
      </c>
      <c r="E143" s="16" t="str">
        <f>IFERROR(__xludf.DUMMYFUNCTION("""COMPUTED_VALUE"""),"вул. Робоча, 82 А")</f>
        <v>вул. Робоча, 82 А</v>
      </c>
      <c r="F143" s="17" t="str">
        <f>IFERROR(__xludf.DUMMYFUNCTION("""COMPUTED_VALUE"""),"0552-38-13-88        0552-38-12-46       050-552-62-60")</f>
        <v>0552-38-13-88        0552-38-12-46       050-552-62-60</v>
      </c>
      <c r="G143" s="17" t="str">
        <f>IFERROR(__xludf.DUMMYFUNCTION("""COMPUTED_VALUE"""),"Вібрація загальна та локальна,Шум,Мікроклімат,Освітлення,Атмосферний тиск")</f>
        <v>Вібрація загальна та локальна,Шум,Мікроклімат,Освітлення,Атмосферний тиск</v>
      </c>
      <c r="H143" s="17" t="str">
        <f>IFERROR(__xludf.DUMMYFUNCTION("""COMPUTED_VALUE"""),"Азота диоксид,Аммиак,Ангидрид сернистый,Ацетальдегид,Водорода хлорид,Водород фосфористый (фосфин),Гексан,Электрокорунд, электрокорунд хромистый,Кислота уксусная,Керамика,Медь,Масла минеральные нефтяные,Натрия хлорид,Никель, никеля оксиды, сульфиды и смеси"&amp;" соединений никеля (файнштейн, никелевый концентрат и агломерат, оборотная пыль очистных устройств (по Ni)
,Озон,Полиамидные пресс-порошки ПМ-69, ПАИ-1,Сероводород,Свинец и его неорганические соединения (по свинцу),Углерода оксид,Формальдегид,Фенолформаль"&amp;"дегидные смолы формальдегиду,Фенопласты,Хлор,Известняк,Корунд белый,Кремния карбид (карборунд).,Полипропилен,Чугун в смесе с електрокорундом до 20%,Шамотнографитовые огнеупоры,Зерновая,Мучная, древесная и др. (с примесью диоксида кремния меньше 2 %),Лубян"&amp;"ая, хлопчато-бумажная, хлопковая, льняная, шерстяная, пуховая и др. (с примесью диоксида кремния более 10%),Искусственные минеральные волокна силикатные и алюмосиликатные стеклообразной структуры,Цемент, оливин, апатит, форстерит, глина, шамот каолиновый,"&amp;"Стеклопластик на основе полиэфирной смолы
,Коксы каменноугольный, пековый, нефтяной, сланцевый,Углеродные волокнистые материалы на основе гидрат полиакрилонитрильных волокон")</f>
        <v>Азота диоксид,Аммиак,Ангидрид сернистый,Ацетальдегид,Водорода хлорид,Водород фосфористый (фосфин),Гексан,Электрокорунд, электрокорунд хромистый,Кислота уксусная,Керамика,Медь,Масла минеральные нефтяные,Натрия хлорид,Никель, никеля оксиды, сульфиды и смеси соединений никеля (файнштейн, никелевый концентрат и агломерат, оборотная пыль очистных устройств (по Ni)
,Озон,Полиамидные пресс-порошки ПМ-69, ПАИ-1,Сероводород,Свинец и его неорганические соединения (по свинцу),Углерода оксид,Формальдегид,Фенолформальдегидные смолы формальдегиду,Фенопласты,Хлор,Известняк,Корунд белый,Кремния карбид (карборунд).,Полипропилен,Чугун в смесе с електрокорундом до 20%,Шамотнографитовые огнеупоры,Зерновая,Мучная,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10%),Искусственные минеральные волокна силикатные и алюмосиликатные стеклообразной структуры,Цемент, оливин, апатит, форстерит, глина, шамот каолиновый,Стеклопластик на основе полиэфирной смолы
,Коксы каменноугольный, пековый, нефтяной, сланцевый,Углеродные волокнистые материалы на основе гидрат полиакрилонитрильных волокон</v>
      </c>
      <c r="I143" s="17" t="str">
        <f>IFERROR(__xludf.DUMMYFUNCTION("""COMPUTED_VALUE"""),"")</f>
        <v/>
      </c>
      <c r="J143" s="17" t="str">
        <f>IFERROR(__xludf.DUMMYFUNCTION("""COMPUTED_VALUE"""),"Важкість праці,Напруженість праці")</f>
        <v>Важкість праці,Напруженість праці</v>
      </c>
      <c r="K143" s="18">
        <f>IFERROR(__xludf.DUMMYFUNCTION("""COMPUTED_VALUE"""),43613.0)</f>
        <v>43613</v>
      </c>
      <c r="L143" s="18" t="str">
        <f>IFERROR(__xludf.DUMMYFUNCTION("""COMPUTED_VALUE"""),"")</f>
        <v/>
      </c>
    </row>
    <row r="144">
      <c r="A144" s="11">
        <f t="shared" si="1"/>
        <v>141</v>
      </c>
      <c r="B144" s="16" t="str">
        <f>IFERROR(__xludf.DUMMYFUNCTION("""COMPUTED_VALUE"""),"АТ ""Нікопольський завод феросплавів"" санітарно-технічна лабораторія")</f>
        <v>АТ "Нікопольський завод феросплавів" санітарно-технічна лабораторія</v>
      </c>
      <c r="C144" s="16" t="str">
        <f>IFERROR(__xludf.DUMMYFUNCTION("""COMPUTED_VALUE"""),"Дніпропетровська")</f>
        <v>Дніпропетровська</v>
      </c>
      <c r="D144" s="16" t="str">
        <f>IFERROR(__xludf.DUMMYFUNCTION("""COMPUTED_VALUE"""),"Нікополь")</f>
        <v>Нікополь</v>
      </c>
      <c r="E144" s="16" t="str">
        <f>IFERROR(__xludf.DUMMYFUNCTION("""COMPUTED_VALUE"""),"вул. Електрометалургів, 310")</f>
        <v>вул. Електрометалургів, 310</v>
      </c>
      <c r="F144" s="17" t="str">
        <f>IFERROR(__xludf.DUMMYFUNCTION("""COMPUTED_VALUE"""),"0566-65-41-21")</f>
        <v>0566-65-41-21</v>
      </c>
      <c r="G144" s="17" t="str">
        <f>IFERROR(__xludf.DUMMYFUNCTION("""COMPUTED_VALUE"""),"Вібрація загальна та локальна,Шум,Мікроклімат,Освітлення,Атмосферний тиск")</f>
        <v>Вібрація загальна та локальна,Шум,Мікроклімат,Освітлення,Атмосферний тиск</v>
      </c>
      <c r="H144" s="17" t="str">
        <f>IFERROR(__xludf.DUMMYFUNCTION("""COMPUTED_VALUE"""),"Азота диоксид,Алюминий и його сплавы,Аммиак,Ангидрид сернистый,Ангидрид фосфорный,Ацетон,Бензол,Водорода хлорид,Водорода цианид,Водород фтористий (в пересчете на F),Электрокорунд, электрокорунд хромистый,Кислота уксусная,Кислота серная,Марганца оксиды (в "&amp;"пересчете на MnO2) аэрозоль дезинтеграции,Марганца оксиды (в пересчете на MnO2) аэрозоль конденсации,Масла минеральные нефтяные,Никель, никеля оксиды, сульфиды и смеси соединений никеля (файнштейн, никелевый концентрат и агломерат, оборотная пыль очистных"&amp;" устройств (по Ni)
,Озон,Свинец и его неорганические соединения (по свинцу),Углерода оксид,Формальдегид,Фтористоводородной кислоты соли (по F):
 фториды натрия, калия, аммония, цинка, олова, серебра, лития и бария, криолит, гидрофторид аммония,Фтористовод"&amp;"ородной кислоты соли (по F) фториды алюминия, магния, кальция, стронция, меди, хрома,Марганець в сварочном аэрозоле: (до 20% и 20-30%),Кремния диоксид аморфный в виде аэрозоля конденсации при содержании: больше 60 %,Кремния диоксид аморфный в виде аэрозол"&amp;"я конденсации при содержании 60-10 %,Кремния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у"&amp;"глепородная пыль и др.),Кремния диоксид кристаллический при содержании в пыле от 2 до 10 % (горючие кукерситные сланцы, медно сульфидные руды и др.),Шамотнографитовые огнеупоры,Мучная, древесная и др. (с примесью диоксида кремния меньше 2 %),Лубяная, хлоп"&amp;"чато-бумажная,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10 %),Искусственные минеральные волокна силик"&amp;"атные и алюмосиликатные стеклообразной структуры,Цемент, оливин, апатит, форстерит, глина, шамот каолиновый,Коксы каменноугольный, пековый, нефтяной, сланцевый,Антрацит с содержанием свободного диоксида кремния до 5 %,Другие ископаемые угли и углеродные п"&amp;"ыли с содержанием свободного диоксида кремния до 5%, от 5% до 10%")</f>
        <v>Азота диоксид,Алюминий и його сплавы,Аммиак,Ангидрид сернистый,Ангидрид фосфорный,Ацетон,Бензол,Водорода хлорид,Водорода цианид,Водород фтористий (в пересчете на F),Электрокорунд, электрокорунд хромистый,Кислота уксусная,Кислота серная,Марганца оксиды (в пересчете на MnO2) аэрозоль дезинтеграции,Марганца оксиды (в пересчете на MnO2) аэрозоль конденсации,Масла минеральные нефтяные,Никель, никеля оксиды, сульфиды и смеси соединений никеля (файнштейн, никелевый концентрат и агломерат, оборотная пыль очистных устройств (по Ni)
,Озон,Свинец и его неорганические соединения (по свинцу),Углерода оксид,Формальдегид,Фтористоводородной кислоты соли (по F):
 фториды натрия, калия, аммония, цинка, олова, серебра, лития и бария, криолит, гидрофторид аммония,Фтористоводородной кислоты соли (по F) фториды алюминия, магния, кальция, стронция, меди, хрома,Марганець в сварочном аэрозоле: (до 20% и 20-30%),Кремния диоксид аморфный в виде аэрозоля конденсации при содержании: больше 60 %,Кремния диоксид аморфный в виде аэрозоля конденсации при содержании 60-10 %,Кремния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др.),Шамотнографитовые огнеупоры,Мучная,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10 %),Искусственные минеральные волокна силикатные и алюмосиликатные стеклообразной структуры,Цемент, оливин, апатит, форстерит, глина, шамот каолиновый,Коксы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v>
      </c>
      <c r="I144" s="17" t="str">
        <f>IFERROR(__xludf.DUMMYFUNCTION("""COMPUTED_VALUE"""),"")</f>
        <v/>
      </c>
      <c r="J144" s="17" t="str">
        <f>IFERROR(__xludf.DUMMYFUNCTION("""COMPUTED_VALUE"""),"Важкість праці,Напруженість праці")</f>
        <v>Важкість праці,Напруженість праці</v>
      </c>
      <c r="K144" s="18">
        <f>IFERROR(__xludf.DUMMYFUNCTION("""COMPUTED_VALUE"""),43626.0)</f>
        <v>43626</v>
      </c>
      <c r="L144" s="18" t="str">
        <f>IFERROR(__xludf.DUMMYFUNCTION("""COMPUTED_VALUE"""),"")</f>
        <v/>
      </c>
    </row>
    <row r="145">
      <c r="A145" s="11">
        <f t="shared" si="1"/>
        <v>142</v>
      </c>
      <c r="B145" s="16" t="str">
        <f>IFERROR(__xludf.DUMMYFUNCTION("""COMPUTED_VALUE"""),"ПрАТ ""СКФ Україна"" лабораторія промислової санітарії")</f>
        <v>ПрАТ "СКФ Україна" лабораторія промислової санітарії</v>
      </c>
      <c r="C145" s="16" t="str">
        <f>IFERROR(__xludf.DUMMYFUNCTION("""COMPUTED_VALUE"""),"Волинська")</f>
        <v>Волинська</v>
      </c>
      <c r="D145" s="16" t="str">
        <f>IFERROR(__xludf.DUMMYFUNCTION("""COMPUTED_VALUE"""),"Луцьк")</f>
        <v>Луцьк</v>
      </c>
      <c r="E145" s="16" t="str">
        <f>IFERROR(__xludf.DUMMYFUNCTION("""COMPUTED_VALUE"""),"вул. Боженка, 34")</f>
        <v>вул. Боженка, 34</v>
      </c>
      <c r="F145" s="17" t="str">
        <f>IFERROR(__xludf.DUMMYFUNCTION("""COMPUTED_VALUE"""),"050-418-75-73")</f>
        <v>050-418-75-73</v>
      </c>
      <c r="G145" s="17" t="str">
        <f>IFERROR(__xludf.DUMMYFUNCTION("""COMPUTED_VALUE"""),"Шум,Мікроклімат,Освітлення,Атмосферний тиск")</f>
        <v>Шум,Мікроклімат,Освітлення,Атмосферний тиск</v>
      </c>
      <c r="H145" s="17" t="str">
        <f>IFERROR(__xludf.DUMMYFUNCTION("""COMPUTED_VALUE"""),"Азота диоксид,Азота оксид (IV) в перерарасчете на (NO2),Аммиак,Ангидрид фосфорный,Водорода хлорид,Кислота уксусная,Керамика,Кислота серная,Медь,Масла минеральные нефтяные,Моноэтаноламин,Никель, никеля оксиды, сульфиды и смеси соединений никеля (файнштейн,"&amp;" никелевый концентрат и агломерат, оборотная пыль очистных устройств (по Ni)
,Озон,Сера элементарная,Сероводород,Свинец и его неорганические соединения (по свинцу),Сода кальцинированная,Спирт метиловий,Триэтаноламин ,Углерода оксид,Фенол,Формальдегид,Хром"&amp;"аты, бихроматы,Хрома оксид (по Cr+3),Щелочи едкие (растворы в перерасчете на NaOH),Марганець в сварочном аэрозоле: (до 20% и 20-30%),Железный агломерат,Чугун в смесе с електрокорундом до 20%,Шамотнографитовые огнеупоры,Зерновая,Мучная, древесная и др. (с "&amp;"примесью диоксида кремния меньше 2 %),Лубяная,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"&amp;"10 %,Асбестобакелит, асбесторезина,Цемент, оливин, апатит, форстерит, глина, шамот каолиновый,Алмазы природные и искусственные,Алмаз металлизированый,Сажи черные промышленные с содержанием бензапирена не более 35 мг на 1 кг")</f>
        <v>Азота диоксид,Азота оксид (IV) в перерарасчете на (NO2),Аммиак,Ангидрид фосфорный,Водорода хлорид,Кислота уксусная,Керамика,Кислота серная,Медь,Масла минеральные нефтяные,Моноэтаноламин,Никель, никеля оксиды, сульфиды и смеси соединений никеля (файнштейн, никелевый концентрат и агломерат, оборотная пыль очистных устройств (по Ni)
,Озон,Сера элементарная,Сероводород,Свинец и его неорганические соединения (по свинцу),Сода кальцинированная,Спирт метиловий,Триэтаноламин ,Углерода оксид,Фенол,Формальдегид,Хроматы, бихроматы,Хрома оксид (по Cr+3),Щелочи едкие (растворы в перерасчете на NaOH),Марганець в сварочном аэрозоле: (до 20% и 20-30%),Железный агломерат,Чугун в смесе с електрокорундом до 20%,Шамотнографитовые огнеупоры,Зерновая,Мучная,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10 %,Асбестобакелит, асбесторезина,Цемент, оливин, апатит, форстерит, глина, шамот каолиновый,Алмазы природные и искусственные,Алмаз металлизированый,Сажи черные промышленные с содержанием бензапирена не более 35 мг на 1 кг</v>
      </c>
      <c r="I145" s="17" t="str">
        <f>IFERROR(__xludf.DUMMYFUNCTION("""COMPUTED_VALUE"""),"")</f>
        <v/>
      </c>
      <c r="J145" s="17" t="str">
        <f>IFERROR(__xludf.DUMMYFUNCTION("""COMPUTED_VALUE"""),"Важкість праці,Напруженість праці")</f>
        <v>Важкість праці,Напруженість праці</v>
      </c>
      <c r="K145" s="18">
        <f>IFERROR(__xludf.DUMMYFUNCTION("""COMPUTED_VALUE"""),43637.0)</f>
        <v>43637</v>
      </c>
      <c r="L145" s="18" t="str">
        <f>IFERROR(__xludf.DUMMYFUNCTION("""COMPUTED_VALUE"""),"")</f>
        <v/>
      </c>
    </row>
    <row r="146">
      <c r="A146" s="11">
        <f t="shared" si="1"/>
        <v>143</v>
      </c>
      <c r="B146" s="16" t="str">
        <f>IFERROR(__xludf.DUMMYFUNCTION("""COMPUTED_VALUE"""),"ДП Науково-виробничий комплекс газотурбобудування ""Зоря""-""Машпроект""")</f>
        <v>ДП Науково-виробничий комплекс газотурбобудування "Зоря"-"Машпроект"</v>
      </c>
      <c r="C146" s="16" t="str">
        <f>IFERROR(__xludf.DUMMYFUNCTION("""COMPUTED_VALUE"""),"Миколаївська")</f>
        <v>Миколаївська</v>
      </c>
      <c r="D146" s="16" t="str">
        <f>IFERROR(__xludf.DUMMYFUNCTION("""COMPUTED_VALUE"""),"Миколаїв")</f>
        <v>Миколаїв</v>
      </c>
      <c r="E146" s="16" t="str">
        <f>IFERROR(__xludf.DUMMYFUNCTION("""COMPUTED_VALUE"""),"пр. Богоявленський, 42 А")</f>
        <v>пр. Богоявленський, 42 А</v>
      </c>
      <c r="F146" s="17" t="str">
        <f>IFERROR(__xludf.DUMMYFUNCTION("""COMPUTED_VALUE"""),"0512-49-43-36      0512-49-39-76")</f>
        <v>0512-49-43-36      0512-49-39-76</v>
      </c>
      <c r="G146" s="17" t="str">
        <f>IFERROR(__xludf.DUMMYFUNCTION("""COMPUTED_VALUE"""),"Вібрація загальна та локальна,Шум,Неіонізуюче випромінювання,Мікроклімат,Освітлення,Атмосферний тиск")</f>
        <v>Вібрація загальна та локальна,Шум,Неіонізуюче випромінювання,Мікроклімат,Освітлення,Атмосферний тиск</v>
      </c>
      <c r="H146" s="17" t="str">
        <f>IFERROR(__xludf.DUMMYFUNCTION("""COMPUTED_VALUE"""),"Азота диоксид,Азота оксид (IV) в перерарасчете на (NO2),Алюминий и його сплавы,Алюминия  оксид в смеси со сплавом никеля до 15% (электрокорунд),Аммиак,Ангидрид сернистый,Ангидрид фосфорный,Ангидрид хромовый,Ацетон,Бутилацетат,Водорода хлорид,Водород фосфо"&amp;"ристый (фосфин),Водород фтористий (в пересчете на F),Дистенсиллиманит,Электрокорунд, электрокорунд хромистый,Эпихлоргидрин,Кислота борная,Керамика,Кислота серная,Медь,Масла минеральные нефтяные,Никеля соли в виде гидроаэрозоля (по Ni),Никель, никеля оксид"&amp;"ы, сульфиды и смеси соединений никеля (файнштейн, никелевый концентрат и агломерат, оборотная пыль очистных устройств (по Ni)
,Озон,Ртуть,Сера элементарная,Свинец и его неорганические соединения (по свинцу),Тетраэтоксисилан,Углерода оксид,Фенол,Феррит ник"&amp;"ельмедный,Формальдегид,Фенолформальдегидные смолы по фенолу,Фенолформальдегидные смолы формальдегиду,Хроматы, бихроматы,Хрома оксид (по Cr+3),Цинка оксид,Щелочи едкие (растворы в перерасчете на NaOH),Алюминия оксид в виде аэрозоля дезинтеграции (глинозем,"&amp;" электрокорунд, монокорунд),Кобальт ,Марганець в сварочном аэрозоле: (до 20% и 20-30%),Доломит,Железный агломерат,Известняк,Кремния диоксид аморфный в виде аэрозоля конденсации при содержании меньше 10 %,Кремния диоксид аморфный в виде аэрозоля дезинтегра"&amp;"ции (диатомит, кварцевое стекло, плавленый кварц, трепел);,Кремния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(горючи"&amp;"е кукерситные сланцы, медно сульфидные руды и др.),Кремния карбид (карборунд).,Чугун в смесе с електрокорундом до 20%,Шамотнографитовые огнеупоры,Мучная, древесная и др. (с примесью диоксида кремния меньше 2 %),Лубяная, хлопчато-бумажная, хлопковая, льнян"&amp;"ая, шерстяная, пуховая и др. (с примесью диоксида кремния более 10%),Асбест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неокраше"&amp;"нный и цветной,Асбестобакелит, асбесторезина,Слюды,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"&amp;"шамот каолиновый,Другие ископаемые угли и углеродные пыли с содержанием свободного диоксида кремния до 5%, от 5% до 10%,Алмаз металлизированый,Сажи черные промышленные с содержанием бензапирена не более 35 мг на 1 кг")</f>
        <v>Азота диоксид,Азота оксид (IV) в перерарасчете на (NO2),Алюминий и його сплавы,Алюминия  оксид в смеси со сплавом никеля до 15% (электрокорунд),Аммиак,Ангидрид сернистый,Ангидрид фосфорный,Ангидрид хромовый,Ацетон,Бутилацетат,Водорода хлорид,Водород фосфористый (фосфин),Водород фтористий (в пересчете на F),Дистенсиллиманит,Электрокорунд, электрокорунд хромистый,Эпихлоргидрин,Кислота борная,Керамика,Кислота серная,Медь,Масла минеральные нефтяные,Никеля соли в виде гидроаэрозоля (по Ni),Никель, никеля оксиды, сульфиды и смеси соединений никеля (файнштейн, никелевый концентрат и агломерат, оборотная пыль очистных устройств (по Ni)
,Озон,Ртуть,Сера элементарная,Свинец и его неорганические соединения (по свинцу),Тетраэтоксисилан,Углерода оксид,Фенол,Феррит никельмедный,Формальдегид,Фенолформальдегидные смолы по фенолу,Фенолформальдегидные смолы формальдегиду,Хроматы, бихроматы,Хрома оксид (по Cr+3),Цинка оксид,Щелочи едкие (растворы в перерасчете на NaOH),Алюминия оксид в виде аэрозоля дезинтеграции (глинозем, электрокорунд, монокорунд),Кобальт ,Марганець в сварочном аэрозоле: (до 20% и 20-30%),Доломит,Железный агломерат,Известняк,Кремния диоксид аморфный в виде аэрозоля конденсации при содержании меньше 10 %,Кремния диоксид аморфный в виде аэрозоля дезинтеграции (диатомит, кварцевое стекло, плавленый кварц, трепел);,Кремния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др.),Кремния карбид (карборунд).,Чугун в смесе с електрокорундом до 20%,Шамотнографитовые огнеупоры,Мучная,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каолиновый,Другие ископаемые угли и углеродные пыли с содержанием свободного диоксида кремния до 5%, от 5% до 10%,Алмаз металлизированый,Сажи черные промышленные с содержанием бензапирена не более 35 мг на 1 кг</v>
      </c>
      <c r="I146" s="17" t="str">
        <f>IFERROR(__xludf.DUMMYFUNCTION("""COMPUTED_VALUE"""),"")</f>
        <v/>
      </c>
      <c r="J146" s="17" t="str">
        <f>IFERROR(__xludf.DUMMYFUNCTION("""COMPUTED_VALUE"""),"Важкість праці,Напруженість праці")</f>
        <v>Важкість праці,Напруженість праці</v>
      </c>
      <c r="K146" s="18">
        <f>IFERROR(__xludf.DUMMYFUNCTION("""COMPUTED_VALUE"""),43650.0)</f>
        <v>43650</v>
      </c>
      <c r="L146" s="18" t="str">
        <f>IFERROR(__xludf.DUMMYFUNCTION("""COMPUTED_VALUE"""),"")</f>
        <v/>
      </c>
    </row>
    <row r="147">
      <c r="A147" s="11">
        <f t="shared" si="1"/>
        <v>144</v>
      </c>
      <c r="B147" s="16" t="str">
        <f>IFERROR(__xludf.DUMMYFUNCTION("""COMPUTED_VALUE"""),"АТ ""Ельворті"" центральна заводська лабораторія")</f>
        <v>АТ "Ельворті" центральна заводська лабораторія</v>
      </c>
      <c r="C147" s="16" t="str">
        <f>IFERROR(__xludf.DUMMYFUNCTION("""COMPUTED_VALUE"""),"Кіровоградська")</f>
        <v>Кіровоградська</v>
      </c>
      <c r="D147" s="16" t="str">
        <f>IFERROR(__xludf.DUMMYFUNCTION("""COMPUTED_VALUE"""),"Кропивницький")</f>
        <v>Кропивницький</v>
      </c>
      <c r="E147" s="16" t="str">
        <f>IFERROR(__xludf.DUMMYFUNCTION("""COMPUTED_VALUE"""),"вул. Є.Чикаленка, 1")</f>
        <v>вул. Є.Чикаленка, 1</v>
      </c>
      <c r="F147" s="17" t="str">
        <f>IFERROR(__xludf.DUMMYFUNCTION("""COMPUTED_VALUE"""),"0522-395-361")</f>
        <v>0522-395-361</v>
      </c>
      <c r="G147" s="17" t="str">
        <f>IFERROR(__xludf.DUMMYFUNCTION("""COMPUTED_VALUE"""),"Вібрація загальна та локальна,Шум,Мікроклімат,Освітлення")</f>
        <v>Вібрація загальна та локальна,Шум,Мікроклімат,Освітлення</v>
      </c>
      <c r="H147" s="17" t="str">
        <f>IFERROR(__xludf.DUMMYFUNCTION("""COMPUTED_VALUE"""),"Азота диоксид,Аммиак,Ангидрид сернистый,Ангидрид хромовый,Водорода хлорид,Кислота уксусная,Кислота серная,Масла минеральные нефтяные,Ртуть,Углерода оксид,Фенол,Формальдегид,Хроматы, бихроматы,Хрома оксид (по Cr+3),Марганець в сварочном аэрозоле: (до 20% и"&amp;" 20-30%),Корунд белый,Кремния диоксид аморфный в виде аэрозоля конденсации при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меньше 1"&amp;"0 %,Кремния диоксид аморфный в виде аэрозоля дезинтеграции (диатомит, кварцевое стекло, плавленый кварц, трепел);,Кремния диоксид кристаллический (кварц, кристобелит, тридимит) при содержании в пыли больше 70% (кварцит, динас и др.);,Кремния диоксид крист"&amp;"аллический при содержании в пыле от 10 до 70 % (гранит, шамот, слюда-сирец, углепородная пыль и др.),Кремния карбид (карборунд).,Полиэтилен,Лубяная, хлопчато-бумажная, хлопковая, льняная, шерстяная, пуховая и др. (с примесью диоксида кремния от 2 до 10 %)"&amp;",Искусственные минеральные волокна силикатные и алюмосиликатные стеклообразной структуры,Цемент, оливин, апатит, форстерит, глина, шамот каолиновый")</f>
        <v>Азота диоксид,Аммиак,Ангидрид сернистый,Ангидрид хромовый,Водорода хлорид,Кислота уксусная,Кислота серная,Масла минеральные нефтяные,Ртуть,Углерода оксид,Фенол,Формальдегид,Хроматы, бихроматы,Хрома оксид (по Cr+3),Марганець в сварочном аэрозоле: (до 20% и 20-30%),Корунд белый,Кремния диоксид аморфный в виде аэрозоля конденсации при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аморфный в виде аэрозоля дезинтеграции (диатомит, кварцевое стекло, плавленый кварц, трепел);,Кремния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карбид (карборунд).,Полиэтилен,Лубяная, хлопчато-бумажная, хлопковая, льняная, шерстяная, пуховая и др. (с примесью диоксида кремния от 2 до 10 %),Искусственные минеральные волокна силикатные и алюмосиликатные стеклообразной структуры,Цемент, оливин, апатит, форстерит, глина, шамот каолиновый</v>
      </c>
      <c r="I147" s="17" t="str">
        <f>IFERROR(__xludf.DUMMYFUNCTION("""COMPUTED_VALUE"""),"")</f>
        <v/>
      </c>
      <c r="J147" s="17" t="str">
        <f>IFERROR(__xludf.DUMMYFUNCTION("""COMPUTED_VALUE"""),"Важкість праці,Напруженість праці")</f>
        <v>Важкість праці,Напруженість праці</v>
      </c>
      <c r="K147" s="18">
        <f>IFERROR(__xludf.DUMMYFUNCTION("""COMPUTED_VALUE"""),43662.0)</f>
        <v>43662</v>
      </c>
      <c r="L147" s="18" t="str">
        <f>IFERROR(__xludf.DUMMYFUNCTION("""COMPUTED_VALUE"""),"")</f>
        <v/>
      </c>
    </row>
    <row r="148">
      <c r="A148" s="11">
        <f t="shared" si="1"/>
        <v>145</v>
      </c>
      <c r="B148" s="16" t="str">
        <f>IFERROR(__xludf.DUMMYFUNCTION("""COMPUTED_VALUE"""),"ДП ""Науково-виробниче об'єднання ""Павлоградський хімічний завод""")</f>
        <v>ДП "Науково-виробниче об'єднання "Павлоградський хімічний завод"</v>
      </c>
      <c r="C148" s="16" t="str">
        <f>IFERROR(__xludf.DUMMYFUNCTION("""COMPUTED_VALUE"""),"Дніпропетровська")</f>
        <v>Дніпропетровська</v>
      </c>
      <c r="D148" s="16" t="str">
        <f>IFERROR(__xludf.DUMMYFUNCTION("""COMPUTED_VALUE"""),"Павлоград")</f>
        <v>Павлоград</v>
      </c>
      <c r="E148" s="16" t="str">
        <f>IFERROR(__xludf.DUMMYFUNCTION("""COMPUTED_VALUE"""),"вул. Заводська, 44")</f>
        <v>вул. Заводська, 44</v>
      </c>
      <c r="F148" s="17" t="str">
        <f>IFERROR(__xludf.DUMMYFUNCTION("""COMPUTED_VALUE"""),"0563-21-16-23")</f>
        <v>0563-21-16-23</v>
      </c>
      <c r="G148" s="17" t="str">
        <f>IFERROR(__xludf.DUMMYFUNCTION("""COMPUTED_VALUE"""),"Вібрація загальна та локальна,Шум,Іонізуюче випромінювання,Мікроклімат,Освітлення,Атмосферний тиск")</f>
        <v>Вібрація загальна та локальна,Шум,Іонізуюче випромінювання,Мікроклімат,Освітлення,Атмосферний тиск</v>
      </c>
      <c r="H148" s="17" t="str">
        <f>IFERROR(__xludf.DUMMYFUNCTION("""COMPUTED_VALUE"""),"Азота диоксид,Азота оксид (IV) в перерарасчете на (NO2),Алюминий и його сплавы,Аммиак,Ангидрид малеиновый,Ангидрид хромовый,Анилин,Ацетон,Бария нитрат,Бензол,Водорода хлорид,Водород фтористий (в пересчете на F),Эпихлоргидрин,Этилацетат ,Кислота уксусная,К"&amp;"ислота серная,Ксилол (мета-,орто-, пара-),Метилена хлорид,Масла минеральные нефтяные,Никель, никеля оксиды, сульфиды и смеси соединений никеля (файнштейн, никелевый концентрат и агломерат, оборотная пыль очистных устройств (по Ni)
,Озон,Свинец и его неорг"&amp;"анические соединения (по свинцу),Спирт этиловий,Спирт метиловий,Титан и его диоксид,Тетрахлорэтилен,Тиомочевина,Тринитротолуол,Толуол,Толуилендиизоцианат,Углерода оксид,Фенол,Формальдегид,Фенолформальдегидные смолы формальдегиду,Фтористоводородной кислоты"&amp;" соли (по F):
 фториды натрия, калия, аммония, цинка, олова, серебра, лития и бария, криолит, гидрофторид аммония,Фтористоводородной кислоты соли (по F) фториды алюминия, магния, кальция, стронция, меди, хрома,Хроматы, бихроматы,Хрома оксид (по Cr+3),Цирк"&amp;"оний,Циклотриметилентринитроамин (гексоген),Цинка оксид,Щелочи едкие (растворы в перерасчете на NaOH),Марганець в сварочном аэрозоле: (до 20% и 20-30%),Кремния диоксид аморфный в виде аэрозоля конденсации при содержании: больше 60 %,Кремния диоксид аморфн"&amp;"ый в виде аэрозоля конденсации при содержании 60-10 %,Кремния диоксид аморфный в виде аэрозоля конденсации при содержании меньше 10 %,Кремния диоксид кристаллический (кварц, кристобелит, тридимит) при содержании в пыли больше 70% (кварцит, динас и др.);,К"&amp;"ремния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др.),Кремния к"&amp;"арбид (карборунд).,Зерновая,Мучная,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ш"&amp;"ерстяная,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10 %,Искусственные минеральны"&amp;"е волокна силикатные и алюмосиликатные стеклообразной структуры,Цемент, оливин, апатит, форстерит, глина, шамот каолиновый,Другие ископаемые угли и углеродные пыли с содержанием свободного диоксида кремния до 5%, от 5% до 10%,Сажи черные промышленные с со"&amp;"держанием бензапирена не более 35 мг на 1 кг")</f>
        <v>Азота диоксид,Азота оксид (IV) в перерарасчете на (NO2),Алюминий и його сплавы,Аммиак,Ангидрид малеиновый,Ангидрид хромовый,Анилин,Ацетон,Бария нитрат,Бензол,Водорода хлорид,Водород фтористий (в пересчете на F),Эпихлоргидрин,Этилацетат ,Кислота уксусная,Кислота серная,Ксилол (мета-,орто-, пара-),Метилена хлорид,Масла минеральные нефтяные,Никель, никеля оксиды, сульфиды и смеси соединений никеля (файнштейн, никелевый концентрат и агломерат, оборотная пыль очистных устройств (по Ni)
,Озон,Свинец и его неорганические соединения (по свинцу),Спирт этиловий,Спирт метиловий,Титан и его диоксид,Тетрахлорэтилен,Тиомочевина,Тринитротолуол,Толуол,Толуилендиизоцианат,Углерода оксид,Фенол,Формальдегид,Фенолформальдегидные смолы формальдегиду,Фтористоводородной кислоты соли (по F):
 фториды натрия, калия, аммония, цинка, олова, серебра, лития и бария, криолит, гидрофторид аммония,Фтористоводородной кислоты соли (по F) фториды алюминия, магния, кальция, стронция, меди, хрома,Хроматы, бихроматы,Хрома оксид (по Cr+3),Цирконий,Циклотриметилентринитроамин (гексоген),Цинка оксид,Щелочи едкие (растворы в перерасчете на NaOH),Марганець в сварочном аэрозоле: (до 20% и 20-30%),Кремния диоксид аморфный в виде аэрозоля конденсации при содержании: больше 60 %,Кремния диоксид аморфный в виде аэрозоля конденсации при содержании 60-10 %,Кремния диоксид аморфный в виде аэрозоля конденсации при содержании меньше 10 %,Кремния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др.),Кремния карбид (карборунд).,Зерновая,Мучная,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10 %,Искусственные минеральные волокна силикатные и алюмосиликатные стеклообразной структуры,Цемент, оливин, апатит, форстерит, глина, шамот каолиновый,Другие ископаемые угли и углеродные пыли с содержанием свободного диоксида кремния до 5%, от 5% до 10%,Сажи черные промышленные с содержанием бензапирена не более 35 мг на 1 кг</v>
      </c>
      <c r="I148" s="17" t="str">
        <f>IFERROR(__xludf.DUMMYFUNCTION("""COMPUTED_VALUE"""),"")</f>
        <v/>
      </c>
      <c r="J148" s="17" t="str">
        <f>IFERROR(__xludf.DUMMYFUNCTION("""COMPUTED_VALUE"""),"")</f>
        <v/>
      </c>
      <c r="K148" s="18">
        <f>IFERROR(__xludf.DUMMYFUNCTION("""COMPUTED_VALUE"""),43662.0)</f>
        <v>43662</v>
      </c>
      <c r="L148" s="18" t="str">
        <f>IFERROR(__xludf.DUMMYFUNCTION("""COMPUTED_VALUE"""),"")</f>
        <v/>
      </c>
    </row>
    <row r="149">
      <c r="A149" s="11">
        <f t="shared" si="1"/>
        <v>146</v>
      </c>
      <c r="B149" s="16" t="str">
        <f>IFERROR(__xludf.DUMMYFUNCTION("""COMPUTED_VALUE"""),"ВП ""Южно-Українська АЕС"" ДП ""НАЕК ""Енергоатом""  промислово-санітарна лабораторія")</f>
        <v>ВП "Южно-Українська АЕС" ДП "НАЕК "Енергоатом"  промислово-санітарна лабораторія</v>
      </c>
      <c r="C149" s="16" t="str">
        <f>IFERROR(__xludf.DUMMYFUNCTION("""COMPUTED_VALUE"""),"Миколаївська")</f>
        <v>Миколаївська</v>
      </c>
      <c r="D149" s="16" t="str">
        <f>IFERROR(__xludf.DUMMYFUNCTION("""COMPUTED_VALUE"""),"Южноукраїнськ")</f>
        <v>Южноукраїнськ</v>
      </c>
      <c r="E149" s="16" t="str">
        <f>IFERROR(__xludf.DUMMYFUNCTION("""COMPUTED_VALUE"""),"")</f>
        <v/>
      </c>
      <c r="F149" s="17" t="str">
        <f>IFERROR(__xludf.DUMMYFUNCTION("""COMPUTED_VALUE"""),"05136-4-22-49    05136-4-14-20     05136-4-11-70          ")</f>
        <v>05136-4-22-49    05136-4-14-20     05136-4-11-70          </v>
      </c>
      <c r="G149" s="17" t="str">
        <f>IFERROR(__xludf.DUMMYFUNCTION("""COMPUTED_VALUE"""),"Вібрація загальна та локальна,Шум,Неіонізуюче випромінювання,Мікроклімат,Освітлення")</f>
        <v>Вібрація загальна та локальна,Шум,Неіонізуюче випромінювання,Мікроклімат,Освітлення</v>
      </c>
      <c r="H149" s="17" t="str">
        <f>IFERROR(__xludf.DUMMYFUNCTION("""COMPUTED_VALUE"""),"Азота диоксид,Акролеин,Аммиак,Ангидрид сернистый,Ангидрид фосфорный,Ангидрид хромовый,Ацетон,Бензин,Бензол,Бутилацетат,Водорода хлорид,Гексан,Гидразин и его производные,Электрокорунд, электрокорунд хромистый,Эпихлоргидрин,Кислота уксусная,Кислота серная,К"&amp;"силол (мета-,орто-, пара-),Масла минеральные нефтяные,Никель, никеля оксиды, сульфиды и смеси соединений никеля (файнштейн, никелевый концентрат и агломерат, оборотная пыль очистных устройств (по Ni)
,Озон,Ртуть,Сероводород,Свинец и его неорганические сое"&amp;"динения (по свинцу),Толуол,Уайт-спирит (в пересчете на С),Углеводороды алифатические предельные,Углерода оксид,Фенол,Формальдегид,Хлор,Хрома оксид (по Cr+3),Щелочи едкие (растворы в перерасчете на NaOH),Марганець в сварочном аэрозоле: (до 20% и 20-30%),Ко"&amp;"рунд белый,Кремния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др.),Кр"&amp;"емния диоксид кристаллический при содержании в пыле от 2 до 10 % (горючие кукерситные сланцы, медно сульфидные руды и др.),Кремния карбид (карборунд).,Мучная, древесная и др. (с примесью диоксида кремния меньше 2 %),Лубяная, хлопчато-бумажная, хлопковая, "&amp;"льняная,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10 %),Искусственные минеральные волокна силикатные и алюмосиликатные ст"&amp;"еклообразной структуры,Цемент, оливин, апатит, форстерит, глина, шамот каолиновый,Коксы каменноугольный, пековый, нефтяной, сланцевый,Сажи черные промышленные с содержанием бензапирена не более 35 мг на 1 кг")</f>
        <v>Азота диоксид,Акролеин,Аммиак,Ангидрид сернистый,Ангидрид фосфорный,Ангидрид хромовый,Ацетон,Бензин,Бензол,Бутилацетат,Водорода хлорид,Гексан,Гидразин и его производные,Электрокорунд, электрокорунд хромистый,Эпихлоргидрин,Кислота уксусная,Кислота серная,Ксилол (мета-,орто-, пара-),Масла минеральные нефтяные,Никель, никеля оксиды, сульфиды и смеси соединений никеля (файнштейн, никелевый концентрат и агломерат, оборотная пыль очистных устройств (по Ni)
,Озон,Ртуть,Сероводород,Свинец и его неорганические соединения (по свинцу),Толуол,Уайт-спирит (в пересчете на С),Углеводороды алифатические предельные,Углерода оксид,Фенол,Формальдегид,Хлор,Хрома оксид (по Cr+3),Щелочи едкие (растворы в перерасчете на NaOH),Марганець в сварочном аэрозоле: (до 20% и 20-30%),Корунд белый,Кремния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др.),Кремния карбид (карборунд).,Мучная,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10 %),Искусственные минеральные волокна силикатные и алюмосиликатные стеклообразной структуры,Цемент, оливин, апатит, форстерит, глина, шамот каолиновый,Коксы каменноугольный, пековый, нефтяной, сланцевый,Сажи черные промышленные с содержанием бензапирена не более 35 мг на 1 кг</v>
      </c>
      <c r="I149" s="17" t="str">
        <f>IFERROR(__xludf.DUMMYFUNCTION("""COMPUTED_VALUE"""),"")</f>
        <v/>
      </c>
      <c r="J149" s="17" t="str">
        <f>IFERROR(__xludf.DUMMYFUNCTION("""COMPUTED_VALUE"""),"Важкість праці,Напруженість праці")</f>
        <v>Важкість праці,Напруженість праці</v>
      </c>
      <c r="K149" s="18">
        <f>IFERROR(__xludf.DUMMYFUNCTION("""COMPUTED_VALUE"""),43665.0)</f>
        <v>43665</v>
      </c>
      <c r="L149" s="18" t="str">
        <f>IFERROR(__xludf.DUMMYFUNCTION("""COMPUTED_VALUE"""),"")</f>
        <v/>
      </c>
    </row>
    <row r="150">
      <c r="A150" s="11">
        <f t="shared" si="1"/>
        <v>147</v>
      </c>
      <c r="B150" s="16" t="str">
        <f>IFERROR(__xludf.DUMMYFUNCTION("""COMPUTED_VALUE"""),"ПрАТ ""Запорізький електровозоремонтний завод"" санітарно-гігієнічна лабораторія")</f>
        <v>ПрАТ "Запорізький електровозоремонтний завод" санітарно-гігієнічна лабораторія</v>
      </c>
      <c r="C150" s="16" t="str">
        <f>IFERROR(__xludf.DUMMYFUNCTION("""COMPUTED_VALUE"""),"Запорізька")</f>
        <v>Запорізька</v>
      </c>
      <c r="D150" s="16" t="str">
        <f>IFERROR(__xludf.DUMMYFUNCTION("""COMPUTED_VALUE"""),"Запоріжжя")</f>
        <v>Запоріжжя</v>
      </c>
      <c r="E150" s="16" t="str">
        <f>IFERROR(__xludf.DUMMYFUNCTION("""COMPUTED_VALUE"""),"вул. Залізнична, 2")</f>
        <v>вул. Залізнична, 2</v>
      </c>
      <c r="F150" s="17" t="str">
        <f>IFERROR(__xludf.DUMMYFUNCTION("""COMPUTED_VALUE"""),"061-787-74-76      061-787-52-98")</f>
        <v>061-787-74-76      061-787-52-98</v>
      </c>
      <c r="G150" s="17" t="str">
        <f>IFERROR(__xludf.DUMMYFUNCTION("""COMPUTED_VALUE"""),"Вібрація загальна та локальна,Шум,Мікроклімат,Освітлення,Атмосферний тиск")</f>
        <v>Вібрація загальна та локальна,Шум,Мікроклімат,Освітлення,Атмосферний тиск</v>
      </c>
      <c r="H150" s="17" t="str">
        <f>IFERROR(__xludf.DUMMYFUNCTION("""COMPUTED_VALUE"""),"Азота диоксид,Азота оксид (IV) в перерарасчете на (NO2),Акролеин,Алюминий и його сплавы,Алюминия  оксид в смеси со сплавом никеля до 15% (электрокорунд),Аммиак,Ангидрид сернистый,Ангидрид хромовый,Ацетон,Бензол,Водорода хлорид,Водород фосфористый (фосфин)"&amp;",Водород фтористий (в пересчете на F),Электрокорунд, электрокорунд хромистый,Эпихлоргидрин,Кислота серная,Ксилол (мета-,орто-, пара-),Медь,Масла минеральные нефтяные,Моноэтаноламин,Никеля соли в виде гидроаэрозоля (по Ni),Никель, никеля оксиды, сульфиды и"&amp;" смеси соединений никеля (файнштейн, никелевый концентрат и агломерат, оборотная пыль очистных устройств (по Ni)
,Озон,Сероводород,Свинец и его неорганические соединения (по свинцу),Сода кальцинированная,Титан и его диоксид,Толуол,Углерода оксид,Фенол,Фор"&amp;"мальдегид,Фтористоводородной кислоты соли (по F):
 фториды натрия, калия, аммония, цинка, олова, серебра, лития и бария, криолит, гидрофторид аммония,Фтористоводородной кислоты соли (по F) фториды алюминия, магния, кальция, стронция, меди, хрома,Хлор,Хром"&amp;"аты, бихроматы,Хрома оксид (по Cr+3),Цинка оксид,Щелочи едкие (растворы в перерасчете на NaOH),Марганець в сварочном аэрозоле: (до 20% и 20-30%),Известняк,Корунд белый,Кремния диоксид аморфный в виде аэрозоля конденсации при содержании меньше 10 %,Кремния"&amp;"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крис"&amp;"таллический при содержании в пыле от 2 до 10 % (горючие кукерситные сланцы, медно сульфидные руды и др.),Кремния карбид (карборунд).,Чугун в смесе с електрокорундом до 20%,Зерновая,Мучная, древесная и др. (с примесью диоксида кремния меньше 2 %),Лубяная, "&amp;"хлопчато-бумажная,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10 %),Силикатсодержащие пыли, силикаты, а"&amp;"люмосиликаты при содержанииасбеста от 10 до 20%
,Силикатсодержащие пыли, силикаты, алюмосиликаты асбесты природные (хризолит, актофиллит, эктинолит, тремолит, магнезиарфведсонит) и синтетическиеасбесты, а такжесмешанныеасбестопородныепыли при содержании в"&amp;" них асбестаболее 20%;
,Асбестопородные пыли при содержании в них асбеста до 10 %,Асбестоцемент неокрашенный и цветной,Асбестобакелит, асбесторезина,Слюды, тальк, талькопородные пыли содержащие до 10% свободного диоксида кремния,Искусственные минеральные"&amp;" волокна силикатные и алюмосиликатные стеклообразной структуры,Цемент, оливин, апатит, форстерит, глина, шамот каолиновый")</f>
        <v>Азота диоксид,Азота оксид (IV) в перерарасчете на (NO2),Акролеин,Алюминий и його сплавы,Алюминия  оксид в смеси со сплавом никеля до 15% (электрокорунд),Аммиак,Ангидрид сернистый,Ангидрид хромовый,Ацетон,Бензол,Водорода хлорид,Водород фосфористый (фосфин),Водород фтористий (в пересчете на F),Электрокорунд, электрокорунд хромистый,Эпихлоргидрин,Кислота серная,Ксилол (мета-,орто-, пара-),Медь,Масла минеральные нефтяные,Моноэтаноламин,Никеля соли в виде гидроаэрозоля (по Ni),Никель, никеля оксиды, сульфиды и смеси соединений никеля (файнштейн, никелевый концентрат и агломерат, оборотная пыль очистных устройств (по Ni)
,Озон,Сероводород,Свинец и его неорганические соединения (по свинцу),Сода кальцинированная,Титан и его диоксид,Толуол,Углерода оксид,Фенол,Формальдегид,Фтористоводородной кислоты соли (по F):
 фториды натрия, калия, аммония, цинка, олова, серебра, лития и бария, криолит, гидрофторид аммония,Фтористоводородной кислоты соли (по F) фториды алюминия, магния, кальция, стронция, меди, хрома,Хлор,Хроматы, бихроматы,Хрома оксид (по Cr+3),Цинка оксид,Щелочи едкие (растворы в перерасчете на NaOH),Марганець в сварочном аэрозоле: (до 20% и 20-30%),Известняк,Корунд белый,Кремния диоксид аморфный в виде аэрозоля конденсации при содержании меньше 10 %,Кремния диоксид кристаллический (кварц, кристобелит, тридимит) при содержании в пыли больше 70% (кварцит, динас и др.);,Кремния диоксид кристаллический при содержании в пыле от 10 до 70 % (гранит, шамот, слюда-сирец, углепородная пыль и др.),Кремния диоксид кристаллический при содержании в пыле от 2 до 10 % (горючие кукерситные сланцы, медно сульфидные руды и др.),Кремния карбид (карборунд).,Чугун в смесе с електрокорундом до 20%,Зерновая,Мучная,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10 %),Силикатсодержащие пыли, силикаты, алюмосиликаты при содержанииасбеста от 10 до 20%
,Силикатсодержащие пыли, силикаты, алюмосиликаты асбесты природные (хризолит, актофиллит, эктинолит, тремолит, магнезиарфведсонит) и синтетическиеасбесты, а такжесмешанныеасбестопородныепыли при содержании в них асбестаболее 20%;
,Асбестопородные пыли при содержании в них асбеста до 10 %,Асбестоцемент неокрашенный и цветной,Асбестобакелит, асбесторезина,Слюды,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v>
      </c>
      <c r="I150" s="17" t="str">
        <f>IFERROR(__xludf.DUMMYFUNCTION("""COMPUTED_VALUE"""),"")</f>
        <v/>
      </c>
      <c r="J150" s="17" t="str">
        <f>IFERROR(__xludf.DUMMYFUNCTION("""COMPUTED_VALUE"""),"Важкість праці,Напруженість праці")</f>
        <v>Важкість праці,Напруженість праці</v>
      </c>
      <c r="K150" s="18">
        <f>IFERROR(__xludf.DUMMYFUNCTION("""COMPUTED_VALUE"""),43672.0)</f>
        <v>43672</v>
      </c>
      <c r="L150" s="18" t="str">
        <f>IFERROR(__xludf.DUMMYFUNCTION("""COMPUTED_VALUE"""),"")</f>
        <v/>
      </c>
    </row>
    <row r="151">
      <c r="A151" s="11">
        <f t="shared" si="1"/>
        <v>148</v>
      </c>
      <c r="B151" s="16" t="str">
        <f>IFERROR(__xludf.DUMMYFUNCTION("""COMPUTED_VALUE"""),"Прилуцький МВ ДУ ""Чернігівський обласний лабораторний центр МОЗ України"" ")</f>
        <v>Прилуцький МВ ДУ "Чернігівський обласний лабораторний центр МОЗ України" </v>
      </c>
      <c r="C151" s="16" t="str">
        <f>IFERROR(__xludf.DUMMYFUNCTION("""COMPUTED_VALUE"""),"Чернігівська")</f>
        <v>Чернігівська</v>
      </c>
      <c r="D151" s="16" t="str">
        <f>IFERROR(__xludf.DUMMYFUNCTION("""COMPUTED_VALUE"""),"Прилуки")</f>
        <v>Прилуки</v>
      </c>
      <c r="E151" s="16" t="str">
        <f>IFERROR(__xludf.DUMMYFUNCTION("""COMPUTED_VALUE"""),"пров. Партизанський, 14")</f>
        <v>пров. Партизанський, 14</v>
      </c>
      <c r="F151" s="17" t="str">
        <f>IFERROR(__xludf.DUMMYFUNCTION("""COMPUTED_VALUE"""),"04637-3-83-67     04637-3-82-65")</f>
        <v>04637-3-83-67     04637-3-82-65</v>
      </c>
      <c r="G151" s="17" t="str">
        <f>IFERROR(__xludf.DUMMYFUNCTION("""COMPUTED_VALUE"""),"Вібрація загальна та локальна,Шум,Мікроклімат,Освітлення")</f>
        <v>Вібрація загальна та локальна,Шум,Мікроклімат,Освітлення</v>
      </c>
      <c r="H151" s="17" t="str">
        <f>IFERROR(__xludf.DUMMYFUNCTION("""COMPUTED_VALUE"""),"Азота диоксид,Аммиак,Ангидрид фосфорный,Ангидрид хромовый,Ацетон,Водорода хлорид,Электрокорунд, электрокорунд хромистый,Кислота уксусная,Кислота серная,Марганца оксиды (в пересчете на MnO2) аэрозоль дезинтеграции,Марганца оксиды (в пересчете на MnO2) аэро"&amp;"золь конденсации,Озон,Сероводород,Углерода оксид,Фенол,Формальдегид,Фенопласты,Марганець в сварочном аэрозоле: (до 20% и 20-30%),Известняк,Кремния карбид (карборунд).,Поливинилхлорид,Полимеры и сополимеры на основе акриловых и метакриловых мономеров,Полиэ"&amp;"тилен,Фосфорит,Чугун в смесе с електрокорундом до 20%,Зерновая,Мучная,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10%),Силикатсодержа"&amp;"щие пыли, силикаты, алюмосиликаты при содержании асбеста менее 10%; асбестоцемент,Силикатсодержащие пыли, силикаты, алюмосиликаты при содержанииасбеста от 10 до 20%
,Силикатсодержащие пыли, силикаты, алюмосиликаты асбесты природные (хризолит, актофиллит, "&amp;"эктинолит, тремолит, магнезиарфведсонит) и синтетическиеасбесты, а такжесмешанныеасбестопородныепыли при содержании в них асбестаболее 20%;
,Асбестобакелит, асбесторезина,Силикаты стеклообразные вулканического происхождения (туфы, пемза, перлит) ,Слюды, "&amp;"тальк,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искусственные)"&amp;"
,Табак,Коксы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искусственные,А"&amp;"лмаз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f>
        <v>Азота диоксид,Аммиак,Ангидрид фосфорный,Ангидрид хромовый,Ацетон,Водорода хлорид,Электрокорунд, электрокорунд хромистый,Кислота уксусная,Кислота серная,Марганца оксиды (в пересчете на MnO2) аэрозоль дезинтеграции,Марганца оксиды (в пересчете на MnO2) аэрозоль конденсации,Озон,Сероводород,Углерода оксид,Фенол,Формальдегид,Фенопласты,Марганець в сварочном аэрозоле: (до 20% и 20-30%),Известняк,Кремния карбид (карборунд).,Поливинилхлорид,Полимеры и сополимеры на основе акриловых и метакриловых мономеров,Полиэтилен,Фосфорит,Чугун в смесе с електрокорундом до 20%,Зерновая,Мучная,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10%),Силикатсодержащие пыли, силикаты, алюмосиликаты при содержании асбеста менее 10%; асбестоцемент,Силикатсодержащие пыли, силикаты, алюмосиликаты при содержанииасбеста от 10 до 20%
,Силикатсодержащие пыли, силикаты, алюмосиликаты асбесты природные (хризолит, актофиллит, эктинолит, тремолит, магнезиарфведсонит) и синтетическиеасбесты, а такжесмешанныеасбестопородныепыли при содержании в них асбестаболее 20%;
,Асбестобакелит,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,Табак,Коксы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v>
      </c>
      <c r="I151" s="17" t="str">
        <f>IFERROR(__xludf.DUMMYFUNCTION("""COMPUTED_VALUE"""),"")</f>
        <v/>
      </c>
      <c r="J151" s="17" t="str">
        <f>IFERROR(__xludf.DUMMYFUNCTION("""COMPUTED_VALUE"""),"Важкість праці,Напруженість праці")</f>
        <v>Важкість праці,Напруженість праці</v>
      </c>
      <c r="K151" s="18">
        <f>IFERROR(__xludf.DUMMYFUNCTION("""COMPUTED_VALUE"""),43679.0)</f>
        <v>43679</v>
      </c>
      <c r="L151" s="18" t="str">
        <f>IFERROR(__xludf.DUMMYFUNCTION("""COMPUTED_VALUE"""),"")</f>
        <v/>
      </c>
    </row>
    <row r="152">
      <c r="A152" s="11">
        <f t="shared" si="1"/>
        <v>149</v>
      </c>
      <c r="B152" s="16" t="str">
        <f>IFERROR(__xludf.DUMMYFUNCTION("""COMPUTED_VALUE"""),"Військова частина А4520 санітарно-гігієнічна лабораторія")</f>
        <v>Військова частина А4520 санітарно-гігієнічна лабораторія</v>
      </c>
      <c r="C152" s="16" t="str">
        <f>IFERROR(__xludf.DUMMYFUNCTION("""COMPUTED_VALUE"""),"Львівська")</f>
        <v>Львівська</v>
      </c>
      <c r="D152" s="16" t="str">
        <f>IFERROR(__xludf.DUMMYFUNCTION("""COMPUTED_VALUE"""),"Львів")</f>
        <v>Львів</v>
      </c>
      <c r="E152" s="16" t="str">
        <f>IFERROR(__xludf.DUMMYFUNCTION("""COMPUTED_VALUE"""),"вул. Зелена, 45")</f>
        <v>вул. Зелена, 45</v>
      </c>
      <c r="F152" s="17" t="str">
        <f>IFERROR(__xludf.DUMMYFUNCTION("""COMPUTED_VALUE"""),"032-275-68-39")</f>
        <v>032-275-68-39</v>
      </c>
      <c r="G152" s="17" t="str">
        <f>IFERROR(__xludf.DUMMYFUNCTION("""COMPUTED_VALUE"""),"Вібрація загальна та локальна,Шум,Інфразвук,Неіонізуюче випромінювання,Іонізуюче випромінювання,Мікроклімат,Освітлення,Атмосферний тиск")</f>
        <v>Вібрація загальна та локальна,Шум,Інфразвук,Неіонізуюче випромінювання,Іонізуюче випромінювання,Мікроклімат,Освітлення,Атмосферний тиск</v>
      </c>
      <c r="H152" s="17" t="str">
        <f>IFERROR(__xludf.DUMMYFUNCTION("""COMPUTED_VALUE"""),"Азота диоксид,Аммиак,Ангидрид серный,Ангидрид хромовый,Ацетон,Водорода хлорид,Гексан,Кислота уксусная,Кислота серная,Масла минеральные нефтяные,Натрия гидрокарбонат,Ртуть,Ртути неорганические соединения (по ртути),Сероводород,Свинец и его неорганические с"&amp;"оединения (по свинцу),Уайт-спирит (в пересчете на С),Углерода оксид,Формальдегид,Хроматы, бихроматы,Щелочи едкие (растворы в перерасчете на NaOH),Марганець в сварочном аэрозоле: (до 20% и 20-30%),Зерновая,Мучная, древесная и др. (с примесью диоксида кремн"&amp;"ия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прир"&amp;"одный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вулканическ"&amp;"ого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шамо"&amp;"т каолиновый,Цеолиты (природные и искусственные)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5%"&amp;"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гидр"&amp;"ат полиакрилонитрильных волокон")</f>
        <v>Азота диоксид,Аммиак,Ангидрид серный,Ангидрид хромовый,Ацетон,Водорода хлорид,Гексан,Кислота уксусная,Кислота серная,Масла минеральные нефтяные,Натрия гидрокарбонат,Ртуть,Ртути неорганические соединения (по ртути),Сероводород,Свинец и его неорганические соединения (по свинцу),Уайт-спирит (в пересчете на С),Углерода оксид,Формальдегид,Хроматы, бихроматы,Щелочи едкие (растворы в перерасчете на NaOH),Марганець в сварочном аэрозоле: (до 20% и 20-30%),Зерновая,Мучная,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сланцевый,Антрацит с содержанием свободного диоксида кремния до 5 %,Другие ископаемые угли и углеродные пыли с содержанием свободного диоксида кремния до 5%, от 5% до 10%,Алмазы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v>
      </c>
      <c r="I152" s="17" t="str">
        <f>IFERROR(__xludf.DUMMYFUNCTION("""COMPUTED_VALUE"""),"")</f>
        <v/>
      </c>
      <c r="J152" s="17" t="str">
        <f>IFERROR(__xludf.DUMMYFUNCTION("""COMPUTED_VALUE"""),"Важкість праці,Напруженість праці")</f>
        <v>Важкість праці,Напруженість праці</v>
      </c>
      <c r="K152" s="18">
        <f>IFERROR(__xludf.DUMMYFUNCTION("""COMPUTED_VALUE"""),43679.0)</f>
        <v>43679</v>
      </c>
      <c r="L152" s="18" t="str">
        <f>IFERROR(__xludf.DUMMYFUNCTION("""COMPUTED_VALUE"""),"")</f>
        <v/>
      </c>
    </row>
    <row r="153">
      <c r="A153" s="11">
        <f t="shared" si="1"/>
        <v>150</v>
      </c>
      <c r="B153" s="16" t="str">
        <f>IFERROR(__xludf.DUMMYFUNCTION("""COMPUTED_VALUE"""),"Охтирський МВ ДУ ""Сумський ОЛЦ МОЗ України""")</f>
        <v>Охтирський МВ ДУ "Сумський ОЛЦ МОЗ України"</v>
      </c>
      <c r="C153" s="16" t="str">
        <f>IFERROR(__xludf.DUMMYFUNCTION("""COMPUTED_VALUE"""),"Сумська")</f>
        <v>Сумська</v>
      </c>
      <c r="D153" s="16" t="str">
        <f>IFERROR(__xludf.DUMMYFUNCTION("""COMPUTED_VALUE"""),"Охтирка")</f>
        <v>Охтирка</v>
      </c>
      <c r="E153" s="16" t="str">
        <f>IFERROR(__xludf.DUMMYFUNCTION("""COMPUTED_VALUE"""),"пров. Челюскіна, 10-А")</f>
        <v>пров. Челюскіна, 10-А</v>
      </c>
      <c r="F153" s="17" t="str">
        <f>IFERROR(__xludf.DUMMYFUNCTION("""COMPUTED_VALUE"""),"05446-6-34-49")</f>
        <v>05446-6-34-49</v>
      </c>
      <c r="G153" s="17" t="str">
        <f>IFERROR(__xludf.DUMMYFUNCTION("""COMPUTED_VALUE"""),"Вібрація загальна та локальна,Шум,Мікроклімат,Освітлення")</f>
        <v>Вібрація загальна та локальна,Шум,Мікроклімат,Освітлення</v>
      </c>
      <c r="H153" s="17" t="str">
        <f>IFERROR(__xludf.DUMMYFUNCTION("""COMPUTED_VALUE"""),"Азота диоксид,Аммиак,Ангидрид сернистый,Ацетон,Бензол,Водорода хлорид,Кислота уксусная,Кислота серная,Ксилол (мета-,орто-, пара-),Масла минеральные нефтяные,Озон,Ртуть,Сероводород,Свинец и его неорганические соединения (по свинцу),Спирт метиловий,Толуол,У"&amp;"глерода оксид,Фенол,Формальдегид,Хлор,Щелочи едкие (растворы в перерасчете на NaOH),Марганець в сварочном аэрозоле: (до 20% и 20-30%),Зерновая,Мучная, древесная и др. (с примесью диоксида кремния меньше 2 %),Лубяная, хлопчато-бумажная, хлопковая, льняная,"&amp;"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соде"&amp;"ржании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талькоп"&amp;"ородные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f>
        <v>Азота диоксид,Аммиак,Ангидрид сернистый,Ацетон,Бензол,Водорода хлорид,Кислота уксусная,Кислота серная,Ксилол (мета-,орто-, пара-),Масла минеральные нефтяные,Озон,Ртуть,Сероводород,Свинец и его неорганические соединения (по свинцу),Спирт метиловий,Толуол,Углерода оксид,Фенол,Формальдегид,Хлор,Щелочи едкие (растворы в перерасчете на NaOH),Марганець в сварочном аэрозоле: (до 20% и 20-30%),Зерновая,Мучная,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,Слюды, тальк, талькопородные пыли содержащие до 10% свободного диоксида кремния,Искусственные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v>
      </c>
      <c r="I153" s="17" t="str">
        <f>IFERROR(__xludf.DUMMYFUNCTION("""COMPUTED_VALUE"""),"")</f>
        <v/>
      </c>
      <c r="J153" s="17" t="str">
        <f>IFERROR(__xludf.DUMMYFUNCTION("""COMPUTED_VALUE"""),"Важкість праці,Напруженість праці")</f>
        <v>Важкість праці,Напруженість праці</v>
      </c>
      <c r="K153" s="18">
        <f>IFERROR(__xludf.DUMMYFUNCTION("""COMPUTED_VALUE"""),43679.0)</f>
        <v>43679</v>
      </c>
      <c r="L153" s="18" t="str">
        <f>IFERROR(__xludf.DUMMYFUNCTION("""COMPUTED_VALUE"""),"")</f>
        <v/>
      </c>
    </row>
    <row r="154">
      <c r="A154" s="11">
        <f t="shared" si="1"/>
        <v>151</v>
      </c>
      <c r="B154" s="16" t="str">
        <f>IFERROR(__xludf.DUMMYFUNCTION("""COMPUTED_VALUE"""),"АТ ""Завод ""Екватор"" санітарно-промислова лабораторія")</f>
        <v>АТ "Завод "Екватор" санітарно-промислова лабораторія</v>
      </c>
      <c r="C154" s="16" t="str">
        <f>IFERROR(__xludf.DUMMYFUNCTION("""COMPUTED_VALUE"""),"Миколаївська")</f>
        <v>Миколаївська</v>
      </c>
      <c r="D154" s="16" t="str">
        <f>IFERROR(__xludf.DUMMYFUNCTION("""COMPUTED_VALUE"""),"Миколаїв")</f>
        <v>Миколаїв</v>
      </c>
      <c r="E154" s="16" t="str">
        <f>IFERROR(__xludf.DUMMYFUNCTION("""COMPUTED_VALUE"""),"вул. Декабристів, 60")</f>
        <v>вул. Декабристів, 60</v>
      </c>
      <c r="F154" s="17" t="str">
        <f>IFERROR(__xludf.DUMMYFUNCTION("""COMPUTED_VALUE"""),"0512-58-09-10       0512-58-09-32")</f>
        <v>0512-58-09-10       0512-58-09-32</v>
      </c>
      <c r="G154" s="17" t="str">
        <f>IFERROR(__xludf.DUMMYFUNCTION("""COMPUTED_VALUE"""),"Вібрація загальна та локальна,Шум,Мікроклімат,Освітлення,Атмосферний тиск")</f>
        <v>Вібрація загальна та локальна,Шум,Мікроклімат,Освітлення,Атмосферний тиск</v>
      </c>
      <c r="H154" s="17" t="str">
        <f>IFERROR(__xludf.DUMMYFUNCTION("""COMPUTED_VALUE"""),"Азота диоксид,Алюминий и його сплавы,Алюминия  оксид в смеси со сплавом никеля до 15% (электрокорунд),Аминопласты (пресс-порошки),Аммиак,Ангидрид сернистый,Ангидрид фосфорный,Ангидрид хромовый,Ацетон,Бутилацетат,Водорода хлорид,Водород фтористий (в пересч"&amp;"ете на F),Гексаметилендиамин,Электрокорунд, электрокорунд хромистый,Этилацетат ,Кислота уксусная,Кислота серная,Медь,Масла минеральные нефтяные,Озон,Сероводород,Свинец и его неорганические соединения (по свинцу),Углерода оксид,Фенол,Формальдегид,Фтористов"&amp;"одородной кислоты соли (по F):
 фториды натрия, калия, аммония, цинка, олова, серебра, лития и бария, криолит, гидрофторид аммония,Фтористоводородной кислоты соли (по F) фториды алюминия, магния, кальция, стронция, меди, хрома,Хроматы, бихроматы,Хрома окс"&amp;"ид (по Cr+3),Щелочи едкие (растворы в перерасчете на NaOH),Алюминия оксид в виде аэрозоля дезинтеграции (глинозем, электрокорунд, монокорунд),Корунд белый,Кремния диоксид аморфный в виде аэрозоля конденсации при содержании меньше 10 %,Кремния диоксид амор"&amp;"фный в виде аэрозоля дезинтеграции (диатомит, кварцевое стекло, плавленый кварц, трепел);,Кремния карбид (карборунд).,Зерновая,Мучная, древесная и др. (с примесью диоксида кремния меньше 2 %),Лубяная, хлопчато-бумажная, хлопковая, льняная, шерстяная, пухо"&amp;"вая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асб"&amp;"еста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,Искусственные минеральные волокна сил"&amp;"икатные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сланцевый,Алмазы природные и искусственные,Алмаз металлизированый,"&amp;"Сажи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f>
        <v>Азота диоксид,Алюминий и його сплавы,Алюминия  оксид в смеси со сплавом никеля до 15% (электрокорунд),Аминопласты (пресс-порошки),Аммиак,Ангидрид сернистый,Ангидрид фосфорный,Ангидрид хромовый,Ацетон,Бутилацетат,Водорода хлорид,Водород фтористий (в пересчете на F),Гексаметилендиамин,Электрокорунд, электрокорунд хромистый,Этилацетат ,Кислота уксусная,Кислота серная,Медь,Масла минеральные нефтяные,Озон,Сероводород,Свинец и его неорганические соединения (по свинцу),Углерода оксид,Фенол,Формальдегид,Фтористоводородной кислоты соли (по F):
 фториды натрия, калия, аммония, цинка, олова, серебра, лития и бария, криолит, гидрофторид аммония,Фтористоводородной кислоты соли (по F) фториды алюминия, магния, кальция, стронция, меди, хрома,Хроматы, бихроматы,Хрома оксид (по Cr+3),Щелочи едкие (растворы в перерасчете на NaOH),Алюминия оксид в виде аэрозоля дезинтеграции (глинозем, электрокорунд, монокорунд),Корунд белый,Кремния диоксид аморфный в виде аэрозоля конденсации при содержании меньше 10 %,Кремния диоксид аморфный в виде аэрозоля дезинтеграции (диатомит, кварцевое стекло, плавленый кварц, трепел);,Кремния карбид (карборунд).,Зерновая,Мучная, древесная и др. (с примесью диоксида кремния меньше 2 %),Лубяная, хлопчато-бумажная, хлопковая, льняная, шерстяная, пуховая и др. (с примесью диоксида кремния более 10%),Лубяная, хлопчато-бумажная, хлопковая, льняная, шерстяная, пуховая и др. (с примесью диоксида кремния от 2 до 10 %),Асбест природный и исскуственный, смешанные асбестопородные пыли при содержании в них асбеста больше 10 %,Асбестопородные пыли при содержании в них асбеста до 10 %,Асбестоцемент неокрашенный и цветной,Асбестобакелит, асбесторезина,Силикаты стеклообразные вулканического происхождения (туфы, пемза, перлит) ,Искусственные минеральные волокна силикатные и алюмосиликатные стеклообразной структуры,Цемент, оливин, апатит, форстерит, глина, шамот каолиновый,Цеолиты (природные и искусственные)
,Коксы каменноугольный, пековый, нефтяной, сланцевый,Алмазы природные и искусственные,Алмаз металлизированый,Сажи черные промышленные с содержанием бензапирена не более 35 мг на 1 кг,Углеродные волокнистые материалы на основе гидрат целлюлозных волокон,Углеродные волокнистые материалы на основе гидрат полиакрилонитрильных волокон</v>
      </c>
      <c r="I154" s="17" t="str">
        <f>IFERROR(__xludf.DUMMYFUNCTION("""COMPUTED_VALUE"""),"")</f>
        <v/>
      </c>
      <c r="J154" s="17" t="str">
        <f>IFERROR(__xludf.DUMMYFUNCTION("""COMPUTED_VALUE"""),"Важкість праці,Напруженість праці")</f>
        <v>Важкість праці,Напруженість праці</v>
      </c>
      <c r="K154" s="18">
        <f>IFERROR(__xludf.DUMMYFUNCTION("""COMPUTED_VALUE"""),43679.0)</f>
        <v>43679</v>
      </c>
      <c r="L154" s="18" t="str">
        <f>IFERROR(__xludf.DUMMYFUNCTION("""COMPUTED_VALUE"""),"")</f>
        <v/>
      </c>
    </row>
    <row r="155">
      <c r="A155" s="11">
        <f t="shared" si="1"/>
        <v>152</v>
      </c>
      <c r="B155" s="16" t="str">
        <f>IFERROR(__xludf.DUMMYFUNCTION("""COMPUTED_VALUE"""),"ТОВ ""Сервісний центр ""Металург""   лабораторія технологічних вимірів")</f>
        <v>ТОВ "Сервісний центр "Металург"   лабораторія технологічних вимірів</v>
      </c>
      <c r="C155" s="16" t="str">
        <f>IFERROR(__xludf.DUMMYFUNCTION("""COMPUTED_VALUE"""),"Миколаївська")</f>
        <v>Миколаївська</v>
      </c>
      <c r="D155" s="16" t="str">
        <f>IFERROR(__xludf.DUMMYFUNCTION("""COMPUTED_VALUE"""),"Вітовський р-н, с. Галицинове")</f>
        <v>Вітовський р-н, с. Галицинове</v>
      </c>
      <c r="E155" s="16" t="str">
        <f>IFERROR(__xludf.DUMMYFUNCTION("""COMPUTED_VALUE"""),"вул. Набережна , 64")</f>
        <v>вул. Набережна , 64</v>
      </c>
      <c r="F155" s="17" t="str">
        <f>IFERROR(__xludf.DUMMYFUNCTION("""COMPUTED_VALUE"""),"0512-69-23-82")</f>
        <v>0512-69-23-82</v>
      </c>
      <c r="G155" s="17" t="str">
        <f>IFERROR(__xludf.DUMMYFUNCTION("""COMPUTED_VALUE"""),"Мікроклімат,Атмосферний тиск")</f>
        <v>Мікроклімат,Атмосферний тиск</v>
      </c>
      <c r="H155" s="17" t="str">
        <f>IFERROR(__xludf.DUMMYFUNCTION("""COMPUTED_VALUE"""),"Щелочи едкие (растворы в перерасчете на NaOH),Алюминия гидроксид,Алюминия оксид в виде аэрозоля дезинтеграции (глинозем, электрокорунд, монокорунд),Бокситы,Известняк")</f>
        <v>Щелочи едкие (растворы в перерасчете на NaOH),Алюминия гидроксид,Алюминия оксид в виде аэрозоля дезинтеграции (глинозем, электрокорунд, монокорунд),Бокситы,Известняк</v>
      </c>
      <c r="I155" s="17" t="str">
        <f>IFERROR(__xludf.DUMMYFUNCTION("""COMPUTED_VALUE"""),"")</f>
        <v/>
      </c>
      <c r="J155" s="17" t="str">
        <f>IFERROR(__xludf.DUMMYFUNCTION("""COMPUTED_VALUE"""),"")</f>
        <v/>
      </c>
      <c r="K155" s="18">
        <f>IFERROR(__xludf.DUMMYFUNCTION("""COMPUTED_VALUE"""),43684.0)</f>
        <v>43684</v>
      </c>
      <c r="L155" s="18" t="str">
        <f>IFERROR(__xludf.DUMMYFUNCTION("""COMPUTED_VALUE"""),"")</f>
        <v/>
      </c>
    </row>
    <row r="156">
      <c r="A156" s="11" t="str">
        <f t="shared" si="1"/>
        <v/>
      </c>
      <c r="B156" s="16"/>
      <c r="C156" s="16"/>
      <c r="D156" s="16"/>
      <c r="E156" s="16"/>
      <c r="F156" s="17"/>
      <c r="G156" s="17"/>
      <c r="H156" s="17"/>
      <c r="I156" s="17"/>
      <c r="J156" s="17"/>
      <c r="K156" s="17"/>
      <c r="L156" s="17"/>
    </row>
    <row r="157">
      <c r="A157" s="11" t="str">
        <f t="shared" si="1"/>
        <v/>
      </c>
      <c r="B157" s="16"/>
      <c r="C157" s="16"/>
      <c r="D157" s="16"/>
      <c r="E157" s="16"/>
      <c r="F157" s="17"/>
      <c r="G157" s="17"/>
      <c r="H157" s="17"/>
      <c r="I157" s="17"/>
      <c r="J157" s="17"/>
      <c r="K157" s="17"/>
      <c r="L157" s="17"/>
    </row>
    <row r="158">
      <c r="A158" s="11" t="str">
        <f t="shared" si="1"/>
        <v/>
      </c>
      <c r="B158" s="16"/>
      <c r="C158" s="16"/>
      <c r="D158" s="16"/>
      <c r="E158" s="16"/>
      <c r="F158" s="17"/>
      <c r="G158" s="17"/>
      <c r="H158" s="17"/>
      <c r="I158" s="17"/>
      <c r="J158" s="17"/>
      <c r="K158" s="17"/>
      <c r="L158" s="17"/>
    </row>
    <row r="159">
      <c r="A159" s="11" t="str">
        <f t="shared" si="1"/>
        <v/>
      </c>
      <c r="B159" s="16"/>
      <c r="C159" s="16"/>
      <c r="D159" s="16"/>
      <c r="E159" s="16"/>
      <c r="F159" s="17"/>
      <c r="G159" s="17"/>
      <c r="H159" s="17"/>
      <c r="I159" s="17"/>
      <c r="J159" s="17"/>
      <c r="K159" s="17"/>
      <c r="L159" s="17"/>
    </row>
    <row r="160">
      <c r="A160" s="11" t="str">
        <f t="shared" si="1"/>
        <v/>
      </c>
      <c r="B160" s="16"/>
      <c r="C160" s="16"/>
      <c r="D160" s="16"/>
      <c r="E160" s="16"/>
      <c r="F160" s="17"/>
      <c r="G160" s="17"/>
      <c r="H160" s="17"/>
      <c r="I160" s="17"/>
      <c r="J160" s="17"/>
      <c r="K160" s="17"/>
      <c r="L160" s="17"/>
    </row>
    <row r="161">
      <c r="A161" s="11" t="str">
        <f t="shared" si="1"/>
        <v/>
      </c>
      <c r="B161" s="16"/>
      <c r="C161" s="16"/>
      <c r="D161" s="16"/>
      <c r="E161" s="16"/>
      <c r="F161" s="17"/>
      <c r="G161" s="17"/>
      <c r="H161" s="17"/>
      <c r="I161" s="17"/>
      <c r="J161" s="17"/>
      <c r="K161" s="17"/>
      <c r="L161" s="17"/>
    </row>
    <row r="162">
      <c r="A162" s="11" t="str">
        <f t="shared" si="1"/>
        <v/>
      </c>
      <c r="B162" s="16"/>
      <c r="C162" s="16"/>
      <c r="D162" s="16"/>
      <c r="E162" s="16"/>
      <c r="F162" s="17"/>
      <c r="G162" s="17"/>
      <c r="H162" s="17"/>
      <c r="I162" s="17"/>
      <c r="J162" s="17"/>
      <c r="K162" s="17"/>
      <c r="L162" s="17"/>
    </row>
    <row r="163">
      <c r="A163" s="11" t="str">
        <f t="shared" si="1"/>
        <v/>
      </c>
      <c r="B163" s="16"/>
      <c r="C163" s="16"/>
      <c r="D163" s="16"/>
      <c r="E163" s="16"/>
      <c r="F163" s="17"/>
      <c r="G163" s="17"/>
      <c r="H163" s="17"/>
      <c r="I163" s="17"/>
      <c r="J163" s="17"/>
      <c r="K163" s="17"/>
      <c r="L163" s="17"/>
    </row>
    <row r="164">
      <c r="A164" s="11" t="str">
        <f t="shared" si="1"/>
        <v/>
      </c>
      <c r="B164" s="16"/>
      <c r="C164" s="16"/>
      <c r="D164" s="16"/>
      <c r="E164" s="16"/>
      <c r="F164" s="17"/>
      <c r="G164" s="17"/>
      <c r="H164" s="17"/>
      <c r="I164" s="17"/>
      <c r="J164" s="17"/>
      <c r="K164" s="17"/>
      <c r="L164" s="17"/>
    </row>
    <row r="165">
      <c r="A165" s="11" t="str">
        <f t="shared" si="1"/>
        <v/>
      </c>
      <c r="B165" s="16"/>
      <c r="C165" s="16"/>
      <c r="D165" s="16"/>
      <c r="E165" s="16"/>
      <c r="F165" s="17"/>
      <c r="G165" s="17"/>
      <c r="H165" s="17"/>
      <c r="I165" s="17"/>
      <c r="J165" s="17"/>
      <c r="K165" s="17"/>
      <c r="L165" s="17"/>
    </row>
    <row r="166">
      <c r="A166" s="11" t="str">
        <f t="shared" si="1"/>
        <v/>
      </c>
      <c r="B166" s="16"/>
      <c r="C166" s="16"/>
      <c r="D166" s="16"/>
      <c r="E166" s="16"/>
      <c r="F166" s="17"/>
      <c r="G166" s="17"/>
      <c r="H166" s="17"/>
      <c r="I166" s="17"/>
      <c r="J166" s="17"/>
      <c r="K166" s="17"/>
      <c r="L166" s="17"/>
    </row>
    <row r="167">
      <c r="A167" s="11" t="str">
        <f t="shared" si="1"/>
        <v/>
      </c>
      <c r="B167" s="16"/>
      <c r="C167" s="16"/>
      <c r="D167" s="16"/>
      <c r="E167" s="16"/>
      <c r="F167" s="17"/>
      <c r="G167" s="17"/>
      <c r="H167" s="17"/>
      <c r="I167" s="17"/>
      <c r="J167" s="17"/>
      <c r="K167" s="17"/>
      <c r="L167" s="17"/>
    </row>
    <row r="168">
      <c r="A168" s="11" t="str">
        <f t="shared" si="1"/>
        <v/>
      </c>
      <c r="B168" s="16"/>
      <c r="C168" s="16"/>
      <c r="D168" s="16"/>
      <c r="E168" s="16"/>
      <c r="F168" s="17"/>
      <c r="G168" s="17"/>
      <c r="H168" s="17"/>
      <c r="I168" s="17"/>
      <c r="J168" s="17"/>
      <c r="K168" s="17"/>
      <c r="L168" s="17"/>
    </row>
    <row r="169">
      <c r="A169" s="11" t="str">
        <f t="shared" si="1"/>
        <v/>
      </c>
      <c r="B169" s="16"/>
      <c r="C169" s="16"/>
      <c r="D169" s="16"/>
      <c r="E169" s="16"/>
      <c r="F169" s="17"/>
      <c r="G169" s="17"/>
      <c r="H169" s="17"/>
      <c r="I169" s="17"/>
      <c r="J169" s="17"/>
      <c r="K169" s="17"/>
      <c r="L169" s="17"/>
    </row>
    <row r="170">
      <c r="A170" s="11" t="str">
        <f t="shared" si="1"/>
        <v/>
      </c>
      <c r="B170" s="16"/>
      <c r="C170" s="16"/>
      <c r="D170" s="16"/>
      <c r="E170" s="16"/>
      <c r="F170" s="17"/>
      <c r="G170" s="17"/>
      <c r="H170" s="17"/>
      <c r="I170" s="17"/>
      <c r="J170" s="17"/>
      <c r="K170" s="17"/>
      <c r="L170" s="17"/>
    </row>
    <row r="171">
      <c r="A171" s="11" t="str">
        <f t="shared" si="1"/>
        <v/>
      </c>
      <c r="B171" s="16"/>
      <c r="C171" s="16"/>
      <c r="D171" s="16"/>
      <c r="E171" s="16"/>
      <c r="F171" s="17"/>
      <c r="G171" s="17"/>
      <c r="H171" s="17"/>
      <c r="I171" s="17"/>
      <c r="J171" s="17"/>
      <c r="K171" s="17"/>
      <c r="L171" s="17"/>
    </row>
    <row r="172">
      <c r="A172" s="11" t="str">
        <f t="shared" si="1"/>
        <v/>
      </c>
      <c r="B172" s="16"/>
      <c r="C172" s="16"/>
      <c r="D172" s="16"/>
      <c r="E172" s="16"/>
      <c r="F172" s="17"/>
      <c r="G172" s="17"/>
      <c r="H172" s="17"/>
      <c r="I172" s="17"/>
      <c r="J172" s="17"/>
      <c r="K172" s="17"/>
      <c r="L172" s="17"/>
    </row>
    <row r="173">
      <c r="A173" s="11" t="str">
        <f t="shared" si="1"/>
        <v/>
      </c>
      <c r="B173" s="16"/>
      <c r="C173" s="16"/>
      <c r="D173" s="16"/>
      <c r="E173" s="16"/>
      <c r="F173" s="17"/>
      <c r="G173" s="17"/>
      <c r="H173" s="17"/>
      <c r="I173" s="17"/>
      <c r="J173" s="17"/>
      <c r="K173" s="17"/>
      <c r="L173" s="17"/>
    </row>
    <row r="174">
      <c r="A174" s="11" t="str">
        <f t="shared" si="1"/>
        <v/>
      </c>
      <c r="B174" s="16"/>
      <c r="C174" s="16"/>
      <c r="D174" s="16"/>
      <c r="E174" s="16"/>
      <c r="F174" s="17"/>
      <c r="G174" s="17"/>
      <c r="H174" s="17"/>
      <c r="I174" s="17"/>
      <c r="J174" s="17"/>
      <c r="K174" s="17"/>
      <c r="L174" s="17"/>
    </row>
    <row r="175">
      <c r="A175" s="11" t="str">
        <f t="shared" si="1"/>
        <v/>
      </c>
      <c r="B175" s="16"/>
      <c r="C175" s="16"/>
      <c r="D175" s="16"/>
      <c r="E175" s="16"/>
      <c r="F175" s="17"/>
      <c r="G175" s="17"/>
      <c r="H175" s="17"/>
      <c r="I175" s="17"/>
      <c r="J175" s="17"/>
      <c r="K175" s="17"/>
      <c r="L175" s="17"/>
    </row>
    <row r="176">
      <c r="A176" s="11" t="str">
        <f t="shared" si="1"/>
        <v/>
      </c>
      <c r="B176" s="16"/>
      <c r="C176" s="16"/>
      <c r="D176" s="16"/>
      <c r="E176" s="16"/>
      <c r="F176" s="17"/>
      <c r="G176" s="17"/>
      <c r="H176" s="17"/>
      <c r="I176" s="17"/>
      <c r="J176" s="17"/>
      <c r="K176" s="17"/>
      <c r="L176" s="17"/>
    </row>
    <row r="177">
      <c r="A177" s="11" t="str">
        <f t="shared" si="1"/>
        <v/>
      </c>
      <c r="B177" s="16"/>
      <c r="C177" s="16"/>
      <c r="D177" s="16"/>
      <c r="E177" s="16"/>
      <c r="F177" s="17"/>
      <c r="G177" s="17"/>
      <c r="H177" s="17"/>
      <c r="I177" s="17"/>
      <c r="J177" s="17"/>
      <c r="K177" s="17"/>
      <c r="L177" s="17"/>
    </row>
    <row r="178">
      <c r="A178" s="11" t="str">
        <f t="shared" si="1"/>
        <v/>
      </c>
      <c r="B178" s="16"/>
      <c r="C178" s="16"/>
      <c r="D178" s="16"/>
      <c r="E178" s="16"/>
      <c r="F178" s="17"/>
      <c r="G178" s="17"/>
      <c r="H178" s="17"/>
      <c r="I178" s="17"/>
      <c r="J178" s="17"/>
      <c r="K178" s="17"/>
      <c r="L178" s="17"/>
    </row>
    <row r="179">
      <c r="A179" s="11" t="str">
        <f t="shared" si="1"/>
        <v/>
      </c>
      <c r="B179" s="16"/>
      <c r="C179" s="16"/>
      <c r="D179" s="16"/>
      <c r="E179" s="16"/>
      <c r="F179" s="17"/>
      <c r="G179" s="17"/>
      <c r="H179" s="17"/>
      <c r="I179" s="17"/>
      <c r="J179" s="17"/>
      <c r="K179" s="17"/>
      <c r="L179" s="17"/>
    </row>
    <row r="180">
      <c r="A180" s="11" t="str">
        <f t="shared" si="1"/>
        <v/>
      </c>
      <c r="B180" s="16"/>
      <c r="C180" s="16"/>
      <c r="D180" s="16"/>
      <c r="E180" s="16"/>
      <c r="F180" s="17"/>
      <c r="G180" s="17"/>
      <c r="H180" s="17"/>
      <c r="I180" s="17"/>
      <c r="J180" s="17"/>
      <c r="K180" s="17"/>
      <c r="L180" s="17"/>
    </row>
    <row r="181">
      <c r="A181" s="11" t="str">
        <f t="shared" si="1"/>
        <v/>
      </c>
      <c r="B181" s="16"/>
      <c r="C181" s="16"/>
      <c r="D181" s="16"/>
      <c r="E181" s="16"/>
      <c r="F181" s="17"/>
      <c r="G181" s="17"/>
      <c r="H181" s="17"/>
      <c r="I181" s="17"/>
      <c r="J181" s="17"/>
      <c r="K181" s="17"/>
      <c r="L181" s="17"/>
    </row>
    <row r="182">
      <c r="A182" s="11" t="str">
        <f t="shared" si="1"/>
        <v/>
      </c>
      <c r="B182" s="16"/>
      <c r="C182" s="16"/>
      <c r="D182" s="16"/>
      <c r="E182" s="16"/>
      <c r="F182" s="17"/>
      <c r="G182" s="17"/>
      <c r="H182" s="17"/>
      <c r="I182" s="17"/>
      <c r="J182" s="17"/>
      <c r="K182" s="17"/>
      <c r="L182" s="17"/>
    </row>
    <row r="183">
      <c r="A183" s="11" t="str">
        <f t="shared" si="1"/>
        <v/>
      </c>
      <c r="B183" s="16"/>
      <c r="C183" s="16"/>
      <c r="D183" s="16"/>
      <c r="E183" s="16"/>
      <c r="F183" s="17"/>
      <c r="G183" s="17"/>
      <c r="H183" s="17"/>
      <c r="I183" s="17"/>
      <c r="J183" s="17"/>
      <c r="K183" s="17"/>
      <c r="L183" s="17"/>
    </row>
    <row r="184">
      <c r="A184" s="11" t="str">
        <f t="shared" si="1"/>
        <v/>
      </c>
      <c r="B184" s="16"/>
      <c r="C184" s="16"/>
      <c r="D184" s="16"/>
      <c r="E184" s="16"/>
      <c r="F184" s="17"/>
      <c r="G184" s="17"/>
      <c r="H184" s="17"/>
      <c r="I184" s="17"/>
      <c r="J184" s="17"/>
      <c r="K184" s="17"/>
      <c r="L184" s="17"/>
    </row>
    <row r="185">
      <c r="A185" s="11" t="str">
        <f t="shared" si="1"/>
        <v/>
      </c>
      <c r="B185" s="16"/>
      <c r="C185" s="16"/>
      <c r="D185" s="16"/>
      <c r="E185" s="16"/>
      <c r="F185" s="17"/>
      <c r="G185" s="17"/>
      <c r="H185" s="17"/>
      <c r="I185" s="17"/>
      <c r="J185" s="17"/>
      <c r="K185" s="17"/>
      <c r="L185" s="17"/>
    </row>
    <row r="186">
      <c r="A186" s="11" t="str">
        <f t="shared" si="1"/>
        <v/>
      </c>
      <c r="B186" s="16"/>
      <c r="C186" s="16"/>
      <c r="D186" s="16"/>
      <c r="E186" s="16"/>
      <c r="F186" s="17"/>
      <c r="G186" s="17"/>
      <c r="H186" s="17"/>
      <c r="I186" s="17"/>
      <c r="J186" s="17"/>
      <c r="K186" s="17"/>
      <c r="L186" s="17"/>
    </row>
    <row r="187">
      <c r="A187" s="11" t="str">
        <f t="shared" si="1"/>
        <v/>
      </c>
      <c r="B187" s="16"/>
      <c r="C187" s="16"/>
      <c r="D187" s="16"/>
      <c r="E187" s="16"/>
      <c r="F187" s="17"/>
      <c r="G187" s="17"/>
      <c r="H187" s="17"/>
      <c r="I187" s="17"/>
      <c r="J187" s="17"/>
      <c r="K187" s="17"/>
      <c r="L187" s="17"/>
    </row>
    <row r="188">
      <c r="A188" s="11" t="str">
        <f t="shared" si="1"/>
        <v/>
      </c>
      <c r="B188" s="16"/>
      <c r="C188" s="16"/>
      <c r="D188" s="16"/>
      <c r="E188" s="16"/>
      <c r="F188" s="17"/>
      <c r="G188" s="17"/>
      <c r="H188" s="17"/>
      <c r="I188" s="17"/>
      <c r="J188" s="17"/>
      <c r="K188" s="17"/>
      <c r="L188" s="17"/>
    </row>
    <row r="189">
      <c r="A189" s="11" t="str">
        <f t="shared" si="1"/>
        <v/>
      </c>
      <c r="B189" s="16"/>
      <c r="C189" s="16"/>
      <c r="D189" s="16"/>
      <c r="E189" s="16"/>
      <c r="F189" s="17"/>
      <c r="G189" s="17"/>
      <c r="H189" s="17"/>
      <c r="I189" s="17"/>
      <c r="J189" s="17"/>
      <c r="K189" s="17"/>
      <c r="L189" s="17"/>
    </row>
    <row r="190">
      <c r="A190" s="11" t="str">
        <f t="shared" si="1"/>
        <v/>
      </c>
      <c r="B190" s="16"/>
      <c r="C190" s="16"/>
      <c r="D190" s="16"/>
      <c r="E190" s="16"/>
      <c r="F190" s="17"/>
      <c r="G190" s="17"/>
      <c r="H190" s="17"/>
      <c r="I190" s="17"/>
      <c r="J190" s="17"/>
      <c r="K190" s="17"/>
      <c r="L190" s="17"/>
    </row>
    <row r="191">
      <c r="A191" s="11" t="str">
        <f t="shared" si="1"/>
        <v/>
      </c>
      <c r="B191" s="16"/>
      <c r="C191" s="16"/>
      <c r="D191" s="16"/>
      <c r="E191" s="16"/>
      <c r="F191" s="17"/>
      <c r="G191" s="17"/>
      <c r="H191" s="17"/>
      <c r="I191" s="17"/>
      <c r="J191" s="17"/>
      <c r="K191" s="17"/>
      <c r="L191" s="17"/>
    </row>
    <row r="192">
      <c r="A192" s="11" t="str">
        <f t="shared" si="1"/>
        <v/>
      </c>
      <c r="B192" s="16"/>
      <c r="C192" s="16"/>
      <c r="D192" s="16"/>
      <c r="E192" s="16"/>
      <c r="F192" s="17"/>
      <c r="G192" s="17"/>
      <c r="H192" s="17"/>
      <c r="I192" s="17"/>
      <c r="J192" s="17"/>
      <c r="K192" s="17"/>
      <c r="L192" s="17"/>
    </row>
    <row r="193">
      <c r="A193" s="11" t="str">
        <f t="shared" si="1"/>
        <v/>
      </c>
      <c r="B193" s="16"/>
      <c r="C193" s="16"/>
      <c r="D193" s="16"/>
      <c r="E193" s="16"/>
      <c r="F193" s="17"/>
      <c r="G193" s="17"/>
      <c r="H193" s="17"/>
      <c r="I193" s="17"/>
      <c r="J193" s="17"/>
      <c r="K193" s="17"/>
      <c r="L193" s="17"/>
    </row>
    <row r="194">
      <c r="A194" s="11" t="str">
        <f t="shared" si="1"/>
        <v/>
      </c>
      <c r="B194" s="16"/>
      <c r="C194" s="16"/>
      <c r="D194" s="16"/>
      <c r="E194" s="16"/>
      <c r="F194" s="17"/>
      <c r="G194" s="17"/>
      <c r="H194" s="17"/>
      <c r="I194" s="17"/>
      <c r="J194" s="17"/>
      <c r="K194" s="17"/>
      <c r="L194" s="17"/>
    </row>
    <row r="195">
      <c r="A195" s="11" t="str">
        <f t="shared" si="1"/>
        <v/>
      </c>
      <c r="B195" s="16"/>
      <c r="C195" s="16"/>
      <c r="D195" s="16"/>
      <c r="E195" s="16"/>
      <c r="F195" s="17"/>
      <c r="G195" s="17"/>
      <c r="H195" s="17"/>
      <c r="I195" s="17"/>
      <c r="J195" s="17"/>
      <c r="K195" s="17"/>
      <c r="L195" s="17"/>
    </row>
    <row r="196">
      <c r="A196" s="11" t="str">
        <f t="shared" si="1"/>
        <v/>
      </c>
      <c r="B196" s="16"/>
      <c r="C196" s="16"/>
      <c r="D196" s="16"/>
      <c r="E196" s="16"/>
      <c r="F196" s="17"/>
      <c r="G196" s="17"/>
      <c r="H196" s="17"/>
      <c r="I196" s="17"/>
      <c r="J196" s="17"/>
      <c r="K196" s="17"/>
      <c r="L196" s="17"/>
    </row>
    <row r="197">
      <c r="A197" s="11" t="str">
        <f t="shared" si="1"/>
        <v/>
      </c>
      <c r="B197" s="16"/>
      <c r="C197" s="16"/>
      <c r="D197" s="16"/>
      <c r="E197" s="16"/>
      <c r="F197" s="17"/>
      <c r="G197" s="17"/>
      <c r="H197" s="17"/>
      <c r="I197" s="17"/>
      <c r="J197" s="17"/>
      <c r="K197" s="17"/>
      <c r="L197" s="17"/>
    </row>
    <row r="198">
      <c r="A198" s="11" t="str">
        <f t="shared" si="1"/>
        <v/>
      </c>
      <c r="B198" s="16"/>
      <c r="C198" s="16"/>
      <c r="D198" s="16"/>
      <c r="E198" s="16"/>
      <c r="F198" s="17"/>
      <c r="G198" s="17"/>
      <c r="H198" s="17"/>
      <c r="I198" s="17"/>
      <c r="J198" s="17"/>
      <c r="K198" s="17"/>
      <c r="L198" s="17"/>
    </row>
    <row r="199">
      <c r="A199" s="11" t="str">
        <f t="shared" si="1"/>
        <v/>
      </c>
      <c r="B199" s="16"/>
      <c r="C199" s="16"/>
      <c r="D199" s="16"/>
      <c r="E199" s="16"/>
      <c r="F199" s="17"/>
      <c r="G199" s="17"/>
      <c r="H199" s="17"/>
      <c r="I199" s="17"/>
      <c r="J199" s="17"/>
      <c r="K199" s="17"/>
      <c r="L199" s="17"/>
    </row>
    <row r="200">
      <c r="A200" s="11" t="str">
        <f t="shared" si="1"/>
        <v/>
      </c>
      <c r="B200" s="16"/>
      <c r="C200" s="16"/>
      <c r="D200" s="16"/>
      <c r="E200" s="16"/>
      <c r="F200" s="17"/>
      <c r="G200" s="17"/>
      <c r="H200" s="17"/>
      <c r="I200" s="17"/>
      <c r="J200" s="17"/>
      <c r="K200" s="17"/>
      <c r="L200" s="17"/>
    </row>
    <row r="201">
      <c r="A201" s="11" t="str">
        <f t="shared" si="1"/>
        <v/>
      </c>
      <c r="B201" s="16"/>
      <c r="C201" s="16"/>
      <c r="D201" s="16"/>
      <c r="E201" s="16"/>
      <c r="F201" s="17"/>
      <c r="G201" s="17"/>
      <c r="H201" s="17"/>
      <c r="I201" s="17"/>
      <c r="J201" s="17"/>
      <c r="K201" s="17"/>
      <c r="L201" s="17"/>
    </row>
    <row r="202">
      <c r="A202" s="11" t="str">
        <f t="shared" si="1"/>
        <v/>
      </c>
      <c r="B202" s="16"/>
      <c r="C202" s="16"/>
      <c r="D202" s="16"/>
      <c r="E202" s="16"/>
      <c r="F202" s="17"/>
      <c r="G202" s="17"/>
      <c r="H202" s="17"/>
      <c r="I202" s="17"/>
      <c r="J202" s="17"/>
      <c r="K202" s="17"/>
      <c r="L202" s="17"/>
    </row>
    <row r="203">
      <c r="A203" s="11" t="str">
        <f t="shared" si="1"/>
        <v/>
      </c>
      <c r="B203" s="16"/>
      <c r="C203" s="16"/>
      <c r="D203" s="16"/>
      <c r="E203" s="16"/>
      <c r="F203" s="17"/>
      <c r="G203" s="17"/>
      <c r="H203" s="17"/>
      <c r="I203" s="17"/>
      <c r="J203" s="17"/>
      <c r="K203" s="17"/>
      <c r="L203" s="17"/>
    </row>
    <row r="204">
      <c r="A204" s="11" t="str">
        <f t="shared" si="1"/>
        <v/>
      </c>
      <c r="B204" s="16"/>
      <c r="C204" s="16"/>
      <c r="D204" s="16"/>
      <c r="E204" s="16"/>
      <c r="F204" s="17"/>
      <c r="G204" s="17"/>
      <c r="H204" s="17"/>
      <c r="I204" s="17"/>
      <c r="J204" s="17"/>
      <c r="K204" s="17"/>
      <c r="L204" s="17"/>
    </row>
    <row r="205">
      <c r="A205" s="11" t="str">
        <f t="shared" si="1"/>
        <v/>
      </c>
      <c r="B205" s="16"/>
      <c r="C205" s="16"/>
      <c r="D205" s="16"/>
      <c r="E205" s="16"/>
      <c r="F205" s="17"/>
      <c r="G205" s="17"/>
      <c r="H205" s="17"/>
      <c r="I205" s="17"/>
      <c r="J205" s="17"/>
      <c r="K205" s="17"/>
      <c r="L205" s="17"/>
    </row>
    <row r="206">
      <c r="A206" s="11" t="str">
        <f t="shared" si="1"/>
        <v/>
      </c>
      <c r="B206" s="16"/>
      <c r="C206" s="16"/>
      <c r="D206" s="16"/>
      <c r="E206" s="16"/>
      <c r="F206" s="17"/>
      <c r="G206" s="17"/>
      <c r="H206" s="17"/>
      <c r="I206" s="17"/>
      <c r="J206" s="17"/>
      <c r="K206" s="17"/>
      <c r="L206" s="17"/>
    </row>
    <row r="207">
      <c r="A207" s="11" t="str">
        <f t="shared" si="1"/>
        <v/>
      </c>
      <c r="B207" s="16"/>
      <c r="C207" s="16"/>
      <c r="D207" s="16"/>
      <c r="E207" s="16"/>
      <c r="F207" s="17"/>
      <c r="G207" s="17"/>
      <c r="H207" s="17"/>
      <c r="I207" s="17"/>
      <c r="J207" s="17"/>
      <c r="K207" s="17"/>
      <c r="L207" s="17"/>
    </row>
    <row r="208">
      <c r="A208" s="11" t="str">
        <f t="shared" si="1"/>
        <v/>
      </c>
      <c r="B208" s="16"/>
      <c r="C208" s="16"/>
      <c r="D208" s="16"/>
      <c r="E208" s="16"/>
      <c r="F208" s="17"/>
      <c r="G208" s="17"/>
      <c r="H208" s="17"/>
      <c r="I208" s="17"/>
      <c r="J208" s="17"/>
      <c r="K208" s="17"/>
      <c r="L208" s="17"/>
    </row>
    <row r="209">
      <c r="A209" s="11" t="str">
        <f t="shared" si="1"/>
        <v/>
      </c>
      <c r="B209" s="16"/>
      <c r="C209" s="16"/>
      <c r="D209" s="16"/>
      <c r="E209" s="16"/>
      <c r="F209" s="17"/>
      <c r="G209" s="17"/>
      <c r="H209" s="17"/>
      <c r="I209" s="17"/>
      <c r="J209" s="17"/>
      <c r="K209" s="17"/>
      <c r="L209" s="17"/>
    </row>
    <row r="210">
      <c r="A210" s="11" t="str">
        <f t="shared" si="1"/>
        <v/>
      </c>
      <c r="B210" s="16"/>
      <c r="C210" s="16"/>
      <c r="D210" s="16"/>
      <c r="E210" s="16"/>
      <c r="F210" s="17"/>
      <c r="G210" s="17"/>
      <c r="H210" s="17"/>
      <c r="I210" s="17"/>
      <c r="J210" s="17"/>
      <c r="K210" s="17"/>
      <c r="L210" s="17"/>
    </row>
    <row r="211">
      <c r="A211" s="11" t="str">
        <f t="shared" si="1"/>
        <v/>
      </c>
      <c r="B211" s="16"/>
      <c r="C211" s="16"/>
      <c r="D211" s="16"/>
      <c r="E211" s="16"/>
      <c r="F211" s="17"/>
      <c r="G211" s="17"/>
      <c r="H211" s="17"/>
      <c r="I211" s="17"/>
      <c r="J211" s="17"/>
      <c r="K211" s="17"/>
      <c r="L211" s="17"/>
    </row>
    <row r="212">
      <c r="A212" s="11" t="str">
        <f t="shared" si="1"/>
        <v/>
      </c>
      <c r="B212" s="16"/>
      <c r="C212" s="16"/>
      <c r="D212" s="16"/>
      <c r="E212" s="16"/>
      <c r="F212" s="17"/>
      <c r="G212" s="17"/>
      <c r="H212" s="17"/>
      <c r="I212" s="17"/>
      <c r="J212" s="17"/>
      <c r="K212" s="17"/>
      <c r="L212" s="17"/>
    </row>
    <row r="213">
      <c r="A213" s="11" t="str">
        <f t="shared" si="1"/>
        <v/>
      </c>
      <c r="B213" s="16"/>
      <c r="C213" s="16"/>
      <c r="D213" s="16"/>
      <c r="E213" s="16"/>
      <c r="F213" s="17"/>
      <c r="G213" s="17"/>
      <c r="H213" s="17"/>
      <c r="I213" s="17"/>
      <c r="J213" s="17"/>
      <c r="K213" s="17"/>
      <c r="L213" s="17"/>
    </row>
    <row r="214">
      <c r="A214" s="11" t="str">
        <f t="shared" si="1"/>
        <v/>
      </c>
      <c r="B214" s="16"/>
      <c r="C214" s="16"/>
      <c r="D214" s="16"/>
      <c r="E214" s="16"/>
      <c r="F214" s="17"/>
      <c r="G214" s="17"/>
      <c r="H214" s="17"/>
      <c r="I214" s="17"/>
      <c r="J214" s="17"/>
      <c r="K214" s="17"/>
      <c r="L214" s="17"/>
    </row>
    <row r="215">
      <c r="A215" s="11" t="str">
        <f t="shared" si="1"/>
        <v/>
      </c>
      <c r="B215" s="16"/>
      <c r="C215" s="16"/>
      <c r="D215" s="16"/>
      <c r="E215" s="16"/>
      <c r="F215" s="17"/>
      <c r="G215" s="17"/>
      <c r="H215" s="17"/>
      <c r="I215" s="17"/>
      <c r="J215" s="17"/>
      <c r="K215" s="17"/>
      <c r="L215" s="17"/>
    </row>
    <row r="216">
      <c r="A216" s="11" t="str">
        <f t="shared" si="1"/>
        <v/>
      </c>
      <c r="B216" s="16"/>
      <c r="C216" s="16"/>
      <c r="D216" s="16"/>
      <c r="E216" s="16"/>
      <c r="F216" s="17"/>
      <c r="G216" s="17"/>
      <c r="H216" s="17"/>
      <c r="I216" s="17"/>
      <c r="J216" s="17"/>
      <c r="K216" s="17"/>
      <c r="L216" s="17"/>
    </row>
    <row r="217">
      <c r="A217" s="11" t="str">
        <f t="shared" si="1"/>
        <v/>
      </c>
      <c r="B217" s="16"/>
      <c r="C217" s="16"/>
      <c r="D217" s="16"/>
      <c r="E217" s="16"/>
      <c r="F217" s="17"/>
      <c r="G217" s="17"/>
      <c r="H217" s="17"/>
      <c r="I217" s="17"/>
      <c r="J217" s="17"/>
      <c r="K217" s="17"/>
      <c r="L217" s="17"/>
    </row>
    <row r="218">
      <c r="A218" s="11" t="str">
        <f t="shared" si="1"/>
        <v/>
      </c>
      <c r="B218" s="16"/>
      <c r="C218" s="16"/>
      <c r="D218" s="16"/>
      <c r="E218" s="16"/>
      <c r="F218" s="17"/>
      <c r="G218" s="17"/>
      <c r="H218" s="17"/>
      <c r="I218" s="17"/>
      <c r="J218" s="17"/>
      <c r="K218" s="17"/>
      <c r="L218" s="17"/>
    </row>
    <row r="219">
      <c r="A219" s="11" t="str">
        <f t="shared" si="1"/>
        <v/>
      </c>
      <c r="B219" s="16"/>
      <c r="C219" s="16"/>
      <c r="D219" s="16"/>
      <c r="E219" s="16"/>
      <c r="F219" s="17"/>
      <c r="G219" s="17"/>
      <c r="H219" s="17"/>
      <c r="I219" s="17"/>
      <c r="J219" s="17"/>
      <c r="K219" s="17"/>
      <c r="L219" s="17"/>
    </row>
    <row r="220">
      <c r="A220" s="11" t="str">
        <f t="shared" si="1"/>
        <v/>
      </c>
      <c r="B220" s="16"/>
      <c r="C220" s="16"/>
      <c r="D220" s="16"/>
      <c r="E220" s="16"/>
      <c r="F220" s="17"/>
      <c r="G220" s="17"/>
      <c r="H220" s="17"/>
      <c r="I220" s="17"/>
      <c r="J220" s="17"/>
      <c r="K220" s="17"/>
      <c r="L220" s="17"/>
    </row>
    <row r="221">
      <c r="A221" s="11" t="str">
        <f t="shared" si="1"/>
        <v/>
      </c>
      <c r="B221" s="16"/>
      <c r="C221" s="16"/>
      <c r="D221" s="16"/>
      <c r="E221" s="16"/>
      <c r="F221" s="17"/>
      <c r="G221" s="17"/>
      <c r="H221" s="17"/>
      <c r="I221" s="17"/>
      <c r="J221" s="17"/>
      <c r="K221" s="17"/>
      <c r="L221" s="17"/>
    </row>
    <row r="222">
      <c r="A222" s="11" t="str">
        <f t="shared" si="1"/>
        <v/>
      </c>
      <c r="B222" s="16"/>
      <c r="C222" s="16"/>
      <c r="D222" s="16"/>
      <c r="E222" s="16"/>
      <c r="F222" s="17"/>
      <c r="G222" s="17"/>
      <c r="H222" s="17"/>
      <c r="I222" s="17"/>
      <c r="J222" s="17"/>
      <c r="K222" s="17"/>
      <c r="L222" s="17"/>
    </row>
    <row r="223">
      <c r="A223" s="11" t="str">
        <f t="shared" si="1"/>
        <v/>
      </c>
      <c r="B223" s="16"/>
      <c r="C223" s="16"/>
      <c r="D223" s="16"/>
      <c r="E223" s="16"/>
      <c r="F223" s="17"/>
      <c r="G223" s="17"/>
      <c r="H223" s="17"/>
      <c r="I223" s="17"/>
      <c r="J223" s="17"/>
      <c r="K223" s="17"/>
      <c r="L223" s="17"/>
    </row>
    <row r="224">
      <c r="A224" s="11" t="str">
        <f t="shared" si="1"/>
        <v/>
      </c>
      <c r="B224" s="16"/>
      <c r="C224" s="16"/>
      <c r="D224" s="16"/>
      <c r="E224" s="16"/>
      <c r="F224" s="17"/>
      <c r="G224" s="17"/>
      <c r="H224" s="17"/>
      <c r="I224" s="17"/>
      <c r="J224" s="17"/>
      <c r="K224" s="17"/>
      <c r="L224" s="17"/>
    </row>
    <row r="225">
      <c r="A225" s="11" t="str">
        <f t="shared" si="1"/>
        <v/>
      </c>
      <c r="B225" s="16"/>
      <c r="C225" s="16"/>
      <c r="D225" s="16"/>
      <c r="E225" s="16"/>
      <c r="F225" s="17"/>
      <c r="G225" s="17"/>
      <c r="H225" s="17"/>
      <c r="I225" s="17"/>
      <c r="J225" s="17"/>
      <c r="K225" s="17"/>
      <c r="L225" s="17"/>
    </row>
    <row r="226">
      <c r="A226" s="11" t="str">
        <f t="shared" si="1"/>
        <v/>
      </c>
      <c r="B226" s="16"/>
      <c r="C226" s="16"/>
      <c r="D226" s="16"/>
      <c r="E226" s="16"/>
      <c r="F226" s="17"/>
      <c r="G226" s="17"/>
      <c r="H226" s="17"/>
      <c r="I226" s="17"/>
      <c r="J226" s="17"/>
      <c r="K226" s="17"/>
      <c r="L226" s="17"/>
    </row>
    <row r="227">
      <c r="A227" s="11" t="str">
        <f t="shared" si="1"/>
        <v/>
      </c>
      <c r="B227" s="16"/>
      <c r="C227" s="16"/>
      <c r="D227" s="16"/>
      <c r="E227" s="16"/>
      <c r="F227" s="17"/>
      <c r="G227" s="17"/>
      <c r="H227" s="17"/>
      <c r="I227" s="17"/>
      <c r="J227" s="17"/>
      <c r="K227" s="17"/>
      <c r="L227" s="17"/>
    </row>
    <row r="228">
      <c r="A228" s="11" t="str">
        <f t="shared" si="1"/>
        <v/>
      </c>
      <c r="B228" s="16"/>
      <c r="C228" s="16"/>
      <c r="D228" s="16"/>
      <c r="E228" s="16"/>
      <c r="F228" s="17"/>
      <c r="G228" s="17"/>
      <c r="H228" s="17"/>
      <c r="I228" s="17"/>
      <c r="J228" s="17"/>
      <c r="K228" s="17"/>
      <c r="L228" s="17"/>
    </row>
    <row r="229">
      <c r="A229" s="11" t="str">
        <f t="shared" si="1"/>
        <v/>
      </c>
      <c r="B229" s="16"/>
      <c r="C229" s="16"/>
      <c r="D229" s="16"/>
      <c r="E229" s="16"/>
      <c r="F229" s="17"/>
      <c r="G229" s="17"/>
      <c r="H229" s="17"/>
      <c r="I229" s="17"/>
      <c r="J229" s="17"/>
      <c r="K229" s="17"/>
      <c r="L229" s="17"/>
    </row>
    <row r="230">
      <c r="A230" s="11" t="str">
        <f t="shared" si="1"/>
        <v/>
      </c>
      <c r="B230" s="16"/>
      <c r="C230" s="16"/>
      <c r="D230" s="16"/>
      <c r="E230" s="16"/>
      <c r="F230" s="17"/>
      <c r="G230" s="17"/>
      <c r="H230" s="17"/>
      <c r="I230" s="17"/>
      <c r="J230" s="17"/>
      <c r="K230" s="17"/>
      <c r="L230" s="17"/>
    </row>
    <row r="231">
      <c r="A231" s="11" t="str">
        <f t="shared" si="1"/>
        <v/>
      </c>
      <c r="B231" s="16"/>
      <c r="C231" s="16"/>
      <c r="D231" s="16"/>
      <c r="E231" s="16"/>
      <c r="F231" s="17"/>
      <c r="G231" s="17"/>
      <c r="H231" s="17"/>
      <c r="I231" s="17"/>
      <c r="J231" s="17"/>
      <c r="K231" s="17"/>
      <c r="L231" s="17"/>
    </row>
    <row r="232">
      <c r="A232" s="11" t="str">
        <f t="shared" si="1"/>
        <v/>
      </c>
      <c r="B232" s="16"/>
      <c r="C232" s="16"/>
      <c r="D232" s="16"/>
      <c r="E232" s="16"/>
      <c r="F232" s="17"/>
      <c r="G232" s="17"/>
      <c r="H232" s="17"/>
      <c r="I232" s="17"/>
      <c r="J232" s="17"/>
      <c r="K232" s="17"/>
      <c r="L232" s="17"/>
    </row>
    <row r="233">
      <c r="A233" s="11" t="str">
        <f t="shared" si="1"/>
        <v/>
      </c>
      <c r="B233" s="16"/>
      <c r="C233" s="16"/>
      <c r="D233" s="16"/>
      <c r="E233" s="16"/>
      <c r="F233" s="17"/>
      <c r="G233" s="17"/>
      <c r="H233" s="17"/>
      <c r="I233" s="17"/>
      <c r="J233" s="17"/>
      <c r="K233" s="17"/>
      <c r="L233" s="17"/>
    </row>
    <row r="234">
      <c r="A234" s="11" t="str">
        <f t="shared" si="1"/>
        <v/>
      </c>
      <c r="B234" s="16"/>
      <c r="C234" s="16"/>
      <c r="D234" s="16"/>
      <c r="E234" s="16"/>
      <c r="F234" s="17"/>
      <c r="G234" s="17"/>
      <c r="H234" s="17"/>
      <c r="I234" s="17"/>
      <c r="J234" s="17"/>
      <c r="K234" s="17"/>
      <c r="L234" s="17"/>
    </row>
    <row r="235">
      <c r="A235" s="11" t="str">
        <f t="shared" si="1"/>
        <v/>
      </c>
      <c r="B235" s="16"/>
      <c r="C235" s="16"/>
      <c r="D235" s="16"/>
      <c r="E235" s="16"/>
      <c r="F235" s="17"/>
      <c r="G235" s="17"/>
      <c r="H235" s="17"/>
      <c r="I235" s="17"/>
      <c r="J235" s="17"/>
      <c r="K235" s="17"/>
      <c r="L235" s="17"/>
    </row>
    <row r="236">
      <c r="A236" s="11" t="str">
        <f t="shared" si="1"/>
        <v/>
      </c>
      <c r="B236" s="16"/>
      <c r="C236" s="16"/>
      <c r="D236" s="16"/>
      <c r="E236" s="16"/>
      <c r="F236" s="17"/>
      <c r="G236" s="17"/>
      <c r="H236" s="17"/>
      <c r="I236" s="17"/>
      <c r="J236" s="17"/>
      <c r="K236" s="17"/>
      <c r="L236" s="17"/>
    </row>
    <row r="237">
      <c r="A237" s="11" t="str">
        <f t="shared" si="1"/>
        <v/>
      </c>
      <c r="B237" s="16"/>
      <c r="C237" s="16"/>
      <c r="D237" s="16"/>
      <c r="E237" s="16"/>
      <c r="F237" s="17"/>
      <c r="G237" s="17"/>
      <c r="H237" s="17"/>
      <c r="I237" s="17"/>
      <c r="J237" s="17"/>
      <c r="K237" s="17"/>
      <c r="L237" s="17"/>
    </row>
    <row r="238">
      <c r="A238" s="11" t="str">
        <f t="shared" si="1"/>
        <v/>
      </c>
      <c r="B238" s="16"/>
      <c r="C238" s="16"/>
      <c r="D238" s="16"/>
      <c r="E238" s="16"/>
      <c r="F238" s="17"/>
      <c r="G238" s="17"/>
      <c r="H238" s="17"/>
      <c r="I238" s="17"/>
      <c r="J238" s="17"/>
      <c r="K238" s="17"/>
      <c r="L238" s="17"/>
    </row>
    <row r="239">
      <c r="A239" s="11" t="str">
        <f t="shared" si="1"/>
        <v/>
      </c>
      <c r="B239" s="16"/>
      <c r="C239" s="16"/>
      <c r="D239" s="16"/>
      <c r="E239" s="16"/>
      <c r="F239" s="17"/>
      <c r="G239" s="17"/>
      <c r="H239" s="17"/>
      <c r="I239" s="17"/>
      <c r="J239" s="17"/>
      <c r="K239" s="17"/>
      <c r="L239" s="17"/>
    </row>
    <row r="240">
      <c r="A240" s="11" t="str">
        <f t="shared" si="1"/>
        <v/>
      </c>
      <c r="B240" s="16"/>
      <c r="C240" s="16"/>
      <c r="D240" s="16"/>
      <c r="E240" s="16"/>
      <c r="F240" s="17"/>
      <c r="G240" s="17"/>
      <c r="H240" s="17"/>
      <c r="I240" s="17"/>
      <c r="J240" s="17"/>
      <c r="K240" s="17"/>
      <c r="L240" s="17"/>
    </row>
    <row r="241">
      <c r="A241" s="11" t="str">
        <f t="shared" si="1"/>
        <v/>
      </c>
      <c r="B241" s="16"/>
      <c r="C241" s="16"/>
      <c r="D241" s="16"/>
      <c r="E241" s="16"/>
      <c r="F241" s="17"/>
      <c r="G241" s="17"/>
      <c r="H241" s="17"/>
      <c r="I241" s="17"/>
      <c r="J241" s="17"/>
      <c r="K241" s="17"/>
      <c r="L241" s="17"/>
    </row>
    <row r="242">
      <c r="A242" s="11" t="str">
        <f t="shared" si="1"/>
        <v/>
      </c>
      <c r="B242" s="16"/>
      <c r="C242" s="16"/>
      <c r="D242" s="16"/>
      <c r="E242" s="16"/>
      <c r="F242" s="17"/>
      <c r="G242" s="17"/>
      <c r="H242" s="17"/>
      <c r="I242" s="17"/>
      <c r="J242" s="17"/>
      <c r="K242" s="17"/>
      <c r="L242" s="17"/>
    </row>
    <row r="243">
      <c r="A243" s="11" t="str">
        <f t="shared" si="1"/>
        <v/>
      </c>
      <c r="B243" s="16"/>
      <c r="C243" s="16"/>
      <c r="D243" s="16"/>
      <c r="E243" s="16"/>
      <c r="F243" s="17"/>
      <c r="G243" s="17"/>
      <c r="H243" s="17"/>
      <c r="I243" s="17"/>
      <c r="J243" s="17"/>
      <c r="K243" s="17"/>
      <c r="L243" s="17"/>
    </row>
    <row r="244">
      <c r="A244" s="11" t="str">
        <f t="shared" si="1"/>
        <v/>
      </c>
      <c r="B244" s="16"/>
      <c r="C244" s="16"/>
      <c r="D244" s="16"/>
      <c r="E244" s="16"/>
      <c r="F244" s="17"/>
      <c r="G244" s="17"/>
      <c r="H244" s="17"/>
      <c r="I244" s="17"/>
      <c r="J244" s="17"/>
      <c r="K244" s="17"/>
      <c r="L244" s="17"/>
    </row>
    <row r="245">
      <c r="A245" s="11" t="str">
        <f t="shared" si="1"/>
        <v/>
      </c>
      <c r="B245" s="16"/>
      <c r="C245" s="16"/>
      <c r="D245" s="16"/>
      <c r="E245" s="16"/>
      <c r="F245" s="17"/>
      <c r="G245" s="17"/>
      <c r="H245" s="17"/>
      <c r="I245" s="17"/>
      <c r="J245" s="17"/>
      <c r="K245" s="17"/>
      <c r="L245" s="17"/>
    </row>
    <row r="246">
      <c r="A246" s="11" t="str">
        <f t="shared" si="1"/>
        <v/>
      </c>
      <c r="B246" s="16"/>
      <c r="C246" s="16"/>
      <c r="D246" s="16"/>
      <c r="E246" s="16"/>
      <c r="F246" s="17"/>
      <c r="G246" s="17"/>
      <c r="H246" s="17"/>
      <c r="I246" s="17"/>
      <c r="J246" s="17"/>
      <c r="K246" s="17"/>
      <c r="L246" s="17"/>
    </row>
    <row r="247">
      <c r="A247" s="11" t="str">
        <f t="shared" si="1"/>
        <v/>
      </c>
      <c r="B247" s="16"/>
      <c r="C247" s="16"/>
      <c r="D247" s="16"/>
      <c r="E247" s="16"/>
      <c r="F247" s="17"/>
      <c r="G247" s="17"/>
      <c r="H247" s="17"/>
      <c r="I247" s="17"/>
      <c r="J247" s="17"/>
      <c r="K247" s="17"/>
      <c r="L247" s="17"/>
    </row>
    <row r="248">
      <c r="A248" s="11" t="str">
        <f t="shared" si="1"/>
        <v/>
      </c>
      <c r="B248" s="16"/>
      <c r="C248" s="16"/>
      <c r="D248" s="16"/>
      <c r="E248" s="16"/>
      <c r="F248" s="17"/>
      <c r="G248" s="17"/>
      <c r="H248" s="17"/>
      <c r="I248" s="17"/>
      <c r="J248" s="17"/>
      <c r="K248" s="17"/>
      <c r="L248" s="17"/>
    </row>
    <row r="249">
      <c r="A249" s="11" t="str">
        <f t="shared" si="1"/>
        <v/>
      </c>
      <c r="B249" s="16"/>
      <c r="C249" s="16"/>
      <c r="D249" s="16"/>
      <c r="E249" s="16"/>
      <c r="F249" s="17"/>
      <c r="G249" s="17"/>
      <c r="H249" s="17"/>
      <c r="I249" s="17"/>
      <c r="J249" s="17"/>
      <c r="K249" s="17"/>
      <c r="L249" s="17"/>
    </row>
    <row r="250">
      <c r="A250" s="11" t="str">
        <f t="shared" si="1"/>
        <v/>
      </c>
      <c r="B250" s="16"/>
      <c r="C250" s="16"/>
      <c r="D250" s="16"/>
      <c r="E250" s="16"/>
      <c r="F250" s="17"/>
      <c r="G250" s="17"/>
      <c r="H250" s="17"/>
      <c r="I250" s="17"/>
      <c r="J250" s="17"/>
      <c r="K250" s="17"/>
      <c r="L250" s="17"/>
    </row>
    <row r="251">
      <c r="A251" s="11" t="str">
        <f t="shared" si="1"/>
        <v/>
      </c>
      <c r="B251" s="16"/>
      <c r="C251" s="16"/>
      <c r="D251" s="16"/>
      <c r="E251" s="16"/>
      <c r="F251" s="17"/>
      <c r="G251" s="17"/>
      <c r="H251" s="17"/>
      <c r="I251" s="17"/>
      <c r="J251" s="17"/>
      <c r="K251" s="17"/>
      <c r="L251" s="17"/>
    </row>
    <row r="252">
      <c r="A252" s="11" t="str">
        <f t="shared" si="1"/>
        <v/>
      </c>
      <c r="B252" s="16"/>
      <c r="C252" s="16"/>
      <c r="D252" s="16"/>
      <c r="E252" s="16"/>
      <c r="F252" s="17"/>
      <c r="G252" s="17"/>
      <c r="H252" s="17"/>
      <c r="I252" s="17"/>
      <c r="J252" s="17"/>
      <c r="K252" s="17"/>
      <c r="L252" s="17"/>
    </row>
    <row r="253">
      <c r="A253" s="11" t="str">
        <f t="shared" si="1"/>
        <v/>
      </c>
      <c r="B253" s="16"/>
      <c r="C253" s="16"/>
      <c r="D253" s="16"/>
      <c r="E253" s="16"/>
      <c r="F253" s="17"/>
      <c r="G253" s="17"/>
      <c r="H253" s="17"/>
      <c r="I253" s="17"/>
      <c r="J253" s="17"/>
      <c r="K253" s="17"/>
      <c r="L253" s="17"/>
    </row>
    <row r="254">
      <c r="A254" s="11" t="str">
        <f t="shared" si="1"/>
        <v/>
      </c>
      <c r="B254" s="16"/>
      <c r="C254" s="16"/>
      <c r="D254" s="16"/>
      <c r="E254" s="16"/>
      <c r="F254" s="17"/>
      <c r="G254" s="17"/>
      <c r="H254" s="17"/>
      <c r="I254" s="17"/>
      <c r="J254" s="17"/>
      <c r="K254" s="17"/>
      <c r="L254" s="17"/>
    </row>
    <row r="255">
      <c r="A255" s="11" t="str">
        <f t="shared" si="1"/>
        <v/>
      </c>
      <c r="B255" s="16"/>
      <c r="C255" s="16"/>
      <c r="D255" s="16"/>
      <c r="E255" s="16"/>
      <c r="F255" s="17"/>
      <c r="G255" s="17"/>
      <c r="H255" s="17"/>
      <c r="I255" s="17"/>
      <c r="J255" s="17"/>
      <c r="K255" s="17"/>
      <c r="L255" s="17"/>
    </row>
    <row r="256">
      <c r="A256" s="11" t="str">
        <f t="shared" si="1"/>
        <v/>
      </c>
      <c r="B256" s="16"/>
      <c r="C256" s="16"/>
      <c r="D256" s="16"/>
      <c r="E256" s="16"/>
      <c r="F256" s="17"/>
      <c r="G256" s="17"/>
      <c r="H256" s="17"/>
      <c r="I256" s="17"/>
      <c r="J256" s="17"/>
      <c r="K256" s="17"/>
      <c r="L256" s="17"/>
    </row>
    <row r="257">
      <c r="A257" s="11" t="str">
        <f t="shared" si="1"/>
        <v/>
      </c>
      <c r="B257" s="16"/>
      <c r="C257" s="16"/>
      <c r="D257" s="16"/>
      <c r="E257" s="16"/>
      <c r="F257" s="17"/>
      <c r="G257" s="17"/>
      <c r="H257" s="17"/>
      <c r="I257" s="17"/>
      <c r="J257" s="17"/>
      <c r="K257" s="17"/>
      <c r="L257" s="17"/>
    </row>
    <row r="258">
      <c r="A258" s="11" t="str">
        <f t="shared" si="1"/>
        <v/>
      </c>
      <c r="B258" s="16"/>
      <c r="C258" s="16"/>
      <c r="D258" s="16"/>
      <c r="E258" s="16"/>
      <c r="F258" s="17"/>
      <c r="G258" s="17"/>
      <c r="H258" s="17"/>
      <c r="I258" s="17"/>
      <c r="J258" s="17"/>
      <c r="K258" s="17"/>
      <c r="L258" s="17"/>
    </row>
    <row r="259">
      <c r="A259" s="11" t="str">
        <f t="shared" si="1"/>
        <v/>
      </c>
      <c r="B259" s="16"/>
      <c r="C259" s="16"/>
      <c r="D259" s="16"/>
      <c r="E259" s="16"/>
      <c r="F259" s="17"/>
      <c r="G259" s="17"/>
      <c r="H259" s="17"/>
      <c r="I259" s="17"/>
      <c r="J259" s="17"/>
      <c r="K259" s="17"/>
      <c r="L259" s="17"/>
    </row>
    <row r="260">
      <c r="A260" s="11" t="str">
        <f t="shared" si="1"/>
        <v/>
      </c>
      <c r="B260" s="16"/>
      <c r="C260" s="16"/>
      <c r="D260" s="16"/>
      <c r="E260" s="16"/>
      <c r="F260" s="17"/>
      <c r="G260" s="17"/>
      <c r="H260" s="17"/>
      <c r="I260" s="17"/>
      <c r="J260" s="17"/>
      <c r="K260" s="17"/>
      <c r="L260" s="17"/>
    </row>
    <row r="261">
      <c r="A261" s="11" t="str">
        <f t="shared" si="1"/>
        <v/>
      </c>
      <c r="B261" s="16"/>
      <c r="C261" s="16"/>
      <c r="D261" s="16"/>
      <c r="E261" s="16"/>
      <c r="F261" s="17"/>
      <c r="G261" s="17"/>
      <c r="H261" s="17"/>
      <c r="I261" s="17"/>
      <c r="J261" s="17"/>
      <c r="K261" s="17"/>
      <c r="L261" s="17"/>
    </row>
    <row r="262">
      <c r="A262" s="11" t="str">
        <f t="shared" si="1"/>
        <v/>
      </c>
      <c r="B262" s="16"/>
      <c r="C262" s="16"/>
      <c r="D262" s="16"/>
      <c r="E262" s="16"/>
      <c r="F262" s="17"/>
      <c r="G262" s="17"/>
      <c r="H262" s="17"/>
      <c r="I262" s="17"/>
      <c r="J262" s="17"/>
      <c r="K262" s="17"/>
      <c r="L262" s="17"/>
    </row>
    <row r="263">
      <c r="A263" s="11" t="str">
        <f t="shared" si="1"/>
        <v/>
      </c>
      <c r="B263" s="16"/>
      <c r="C263" s="16"/>
      <c r="D263" s="16"/>
      <c r="E263" s="16"/>
      <c r="F263" s="17"/>
      <c r="G263" s="17"/>
      <c r="H263" s="17"/>
      <c r="I263" s="17"/>
      <c r="J263" s="17"/>
      <c r="K263" s="17"/>
      <c r="L263" s="17"/>
    </row>
    <row r="264">
      <c r="A264" s="11" t="str">
        <f t="shared" si="1"/>
        <v/>
      </c>
      <c r="B264" s="16"/>
      <c r="C264" s="16"/>
      <c r="D264" s="16"/>
      <c r="E264" s="16"/>
      <c r="F264" s="17"/>
      <c r="G264" s="17"/>
      <c r="H264" s="17"/>
      <c r="I264" s="17"/>
      <c r="J264" s="17"/>
      <c r="K264" s="17"/>
      <c r="L264" s="17"/>
    </row>
    <row r="265">
      <c r="A265" s="11" t="str">
        <f t="shared" si="1"/>
        <v/>
      </c>
      <c r="B265" s="16"/>
      <c r="C265" s="16"/>
      <c r="D265" s="16"/>
      <c r="E265" s="16"/>
      <c r="F265" s="17"/>
      <c r="G265" s="17"/>
      <c r="H265" s="17"/>
      <c r="I265" s="17"/>
      <c r="J265" s="17"/>
      <c r="K265" s="17"/>
      <c r="L265" s="17"/>
    </row>
    <row r="266">
      <c r="A266" s="11" t="str">
        <f t="shared" si="1"/>
        <v/>
      </c>
      <c r="B266" s="16"/>
      <c r="C266" s="16"/>
      <c r="D266" s="16"/>
      <c r="E266" s="16"/>
      <c r="F266" s="17"/>
      <c r="G266" s="17"/>
      <c r="H266" s="17"/>
      <c r="I266" s="17"/>
      <c r="J266" s="17"/>
      <c r="K266" s="17"/>
      <c r="L266" s="17"/>
    </row>
    <row r="267">
      <c r="A267" s="11" t="str">
        <f t="shared" si="1"/>
        <v/>
      </c>
      <c r="B267" s="16"/>
      <c r="C267" s="16"/>
      <c r="D267" s="16"/>
      <c r="E267" s="16"/>
      <c r="F267" s="17"/>
      <c r="G267" s="17"/>
      <c r="H267" s="17"/>
      <c r="I267" s="17"/>
      <c r="J267" s="17"/>
      <c r="K267" s="17"/>
      <c r="L267" s="17"/>
    </row>
    <row r="268">
      <c r="A268" s="11" t="str">
        <f t="shared" si="1"/>
        <v/>
      </c>
      <c r="B268" s="16"/>
      <c r="C268" s="16"/>
      <c r="D268" s="16"/>
      <c r="E268" s="16"/>
      <c r="F268" s="17"/>
      <c r="G268" s="17"/>
      <c r="H268" s="17"/>
      <c r="I268" s="17"/>
      <c r="J268" s="17"/>
      <c r="K268" s="17"/>
      <c r="L268" s="17"/>
    </row>
    <row r="269">
      <c r="A269" s="11" t="str">
        <f t="shared" si="1"/>
        <v/>
      </c>
      <c r="B269" s="16"/>
      <c r="C269" s="16"/>
      <c r="D269" s="16"/>
      <c r="E269" s="16"/>
      <c r="F269" s="17"/>
      <c r="G269" s="17"/>
      <c r="H269" s="17"/>
      <c r="I269" s="17"/>
      <c r="J269" s="17"/>
      <c r="K269" s="17"/>
      <c r="L269" s="17"/>
    </row>
    <row r="270">
      <c r="A270" s="11" t="str">
        <f t="shared" si="1"/>
        <v/>
      </c>
      <c r="B270" s="16"/>
      <c r="C270" s="16"/>
      <c r="D270" s="16"/>
      <c r="E270" s="16"/>
      <c r="F270" s="17"/>
      <c r="G270" s="17"/>
      <c r="H270" s="17"/>
      <c r="I270" s="17"/>
      <c r="J270" s="17"/>
      <c r="K270" s="17"/>
      <c r="L270" s="17"/>
    </row>
    <row r="271">
      <c r="A271" s="11" t="str">
        <f t="shared" si="1"/>
        <v/>
      </c>
      <c r="B271" s="16"/>
      <c r="C271" s="16"/>
      <c r="D271" s="16"/>
      <c r="E271" s="16"/>
      <c r="F271" s="17"/>
      <c r="G271" s="17"/>
      <c r="H271" s="17"/>
      <c r="I271" s="17"/>
      <c r="J271" s="17"/>
      <c r="K271" s="17"/>
      <c r="L271" s="17"/>
    </row>
    <row r="272">
      <c r="A272" s="11" t="str">
        <f t="shared" si="1"/>
        <v/>
      </c>
      <c r="B272" s="16"/>
      <c r="C272" s="16"/>
      <c r="D272" s="16"/>
      <c r="E272" s="16"/>
      <c r="F272" s="17"/>
      <c r="G272" s="17"/>
      <c r="H272" s="17"/>
      <c r="I272" s="17"/>
      <c r="J272" s="17"/>
      <c r="K272" s="17"/>
      <c r="L272" s="17"/>
    </row>
    <row r="273">
      <c r="A273" s="11" t="str">
        <f t="shared" si="1"/>
        <v/>
      </c>
      <c r="B273" s="16"/>
      <c r="C273" s="16"/>
      <c r="D273" s="16"/>
      <c r="E273" s="16"/>
      <c r="F273" s="17"/>
      <c r="G273" s="17"/>
      <c r="H273" s="17"/>
      <c r="I273" s="17"/>
      <c r="J273" s="17"/>
      <c r="K273" s="17"/>
      <c r="L273" s="17"/>
    </row>
    <row r="274">
      <c r="A274" s="11" t="str">
        <f t="shared" si="1"/>
        <v/>
      </c>
      <c r="B274" s="16"/>
      <c r="C274" s="16"/>
      <c r="D274" s="16"/>
      <c r="E274" s="16"/>
      <c r="F274" s="17"/>
      <c r="G274" s="17"/>
      <c r="H274" s="17"/>
      <c r="I274" s="17"/>
      <c r="J274" s="17"/>
      <c r="K274" s="17"/>
      <c r="L274" s="17"/>
    </row>
    <row r="275">
      <c r="A275" s="11" t="str">
        <f t="shared" si="1"/>
        <v/>
      </c>
      <c r="B275" s="16"/>
      <c r="C275" s="16"/>
      <c r="D275" s="16"/>
      <c r="E275" s="16"/>
      <c r="F275" s="17"/>
      <c r="G275" s="17"/>
      <c r="H275" s="17"/>
      <c r="I275" s="17"/>
      <c r="J275" s="17"/>
      <c r="K275" s="17"/>
      <c r="L275" s="17"/>
    </row>
    <row r="276">
      <c r="A276" s="11" t="str">
        <f t="shared" si="1"/>
        <v/>
      </c>
      <c r="B276" s="16"/>
      <c r="C276" s="16"/>
      <c r="D276" s="16"/>
      <c r="E276" s="16"/>
      <c r="F276" s="17"/>
      <c r="G276" s="17"/>
      <c r="H276" s="17"/>
      <c r="I276" s="17"/>
      <c r="J276" s="17"/>
      <c r="K276" s="17"/>
      <c r="L276" s="17"/>
    </row>
    <row r="277">
      <c r="A277" s="11" t="str">
        <f t="shared" si="1"/>
        <v/>
      </c>
      <c r="B277" s="16"/>
      <c r="C277" s="16"/>
      <c r="D277" s="16"/>
      <c r="E277" s="16"/>
      <c r="F277" s="17"/>
      <c r="G277" s="17"/>
      <c r="H277" s="17"/>
      <c r="I277" s="17"/>
      <c r="J277" s="17"/>
      <c r="K277" s="17"/>
      <c r="L277" s="17"/>
    </row>
    <row r="278">
      <c r="A278" s="11" t="str">
        <f t="shared" si="1"/>
        <v/>
      </c>
      <c r="B278" s="16"/>
      <c r="C278" s="16"/>
      <c r="D278" s="16"/>
      <c r="E278" s="16"/>
      <c r="F278" s="17"/>
      <c r="G278" s="17"/>
      <c r="H278" s="17"/>
      <c r="I278" s="17"/>
      <c r="J278" s="17"/>
      <c r="K278" s="17"/>
      <c r="L278" s="17"/>
    </row>
    <row r="279">
      <c r="A279" s="11" t="str">
        <f t="shared" si="1"/>
        <v/>
      </c>
      <c r="B279" s="16"/>
      <c r="C279" s="16"/>
      <c r="D279" s="16"/>
      <c r="E279" s="16"/>
      <c r="F279" s="17"/>
      <c r="G279" s="17"/>
      <c r="H279" s="17"/>
      <c r="I279" s="17"/>
      <c r="J279" s="17"/>
      <c r="K279" s="17"/>
      <c r="L279" s="17"/>
    </row>
    <row r="280">
      <c r="A280" s="11" t="str">
        <f t="shared" si="1"/>
        <v/>
      </c>
      <c r="B280" s="16"/>
      <c r="C280" s="16"/>
      <c r="D280" s="16"/>
      <c r="E280" s="16"/>
      <c r="F280" s="17"/>
      <c r="G280" s="17"/>
      <c r="H280" s="17"/>
      <c r="I280" s="17"/>
      <c r="J280" s="17"/>
      <c r="K280" s="17"/>
      <c r="L280" s="17"/>
    </row>
    <row r="281">
      <c r="A281" s="11" t="str">
        <f t="shared" si="1"/>
        <v/>
      </c>
      <c r="B281" s="16"/>
      <c r="C281" s="16"/>
      <c r="D281" s="16"/>
      <c r="E281" s="16"/>
      <c r="F281" s="17"/>
      <c r="G281" s="17"/>
      <c r="H281" s="17"/>
      <c r="I281" s="17"/>
      <c r="J281" s="17"/>
      <c r="K281" s="17"/>
      <c r="L281" s="17"/>
    </row>
    <row r="282">
      <c r="A282" s="11" t="str">
        <f t="shared" si="1"/>
        <v/>
      </c>
      <c r="B282" s="16"/>
      <c r="C282" s="16"/>
      <c r="D282" s="16"/>
      <c r="E282" s="16"/>
      <c r="F282" s="17"/>
      <c r="G282" s="17"/>
      <c r="H282" s="17"/>
      <c r="I282" s="17"/>
      <c r="J282" s="17"/>
      <c r="K282" s="17"/>
      <c r="L282" s="17"/>
    </row>
    <row r="283">
      <c r="A283" s="11" t="str">
        <f t="shared" si="1"/>
        <v/>
      </c>
      <c r="B283" s="16"/>
      <c r="C283" s="16"/>
      <c r="D283" s="16"/>
      <c r="E283" s="16"/>
      <c r="F283" s="17"/>
      <c r="G283" s="17"/>
      <c r="H283" s="17"/>
      <c r="I283" s="17"/>
      <c r="J283" s="17"/>
      <c r="K283" s="17"/>
      <c r="L283" s="17"/>
    </row>
    <row r="284">
      <c r="A284" s="11" t="str">
        <f t="shared" si="1"/>
        <v/>
      </c>
      <c r="B284" s="16"/>
      <c r="C284" s="16"/>
      <c r="D284" s="16"/>
      <c r="E284" s="16"/>
      <c r="F284" s="17"/>
      <c r="G284" s="17"/>
      <c r="H284" s="17"/>
      <c r="I284" s="17"/>
      <c r="J284" s="17"/>
      <c r="K284" s="17"/>
      <c r="L284" s="17"/>
    </row>
    <row r="285">
      <c r="A285" s="11" t="str">
        <f t="shared" si="1"/>
        <v/>
      </c>
      <c r="B285" s="16"/>
      <c r="C285" s="16"/>
      <c r="D285" s="16"/>
      <c r="E285" s="16"/>
      <c r="F285" s="17"/>
      <c r="G285" s="17"/>
      <c r="H285" s="17"/>
      <c r="I285" s="17"/>
      <c r="J285" s="17"/>
      <c r="K285" s="17"/>
      <c r="L285" s="17"/>
    </row>
    <row r="286">
      <c r="A286" s="11" t="str">
        <f t="shared" si="1"/>
        <v/>
      </c>
      <c r="B286" s="16"/>
      <c r="C286" s="16"/>
      <c r="D286" s="16"/>
      <c r="E286" s="16"/>
      <c r="F286" s="17"/>
      <c r="G286" s="17"/>
      <c r="H286" s="17"/>
      <c r="I286" s="17"/>
      <c r="J286" s="17"/>
      <c r="K286" s="17"/>
      <c r="L286" s="17"/>
    </row>
    <row r="287">
      <c r="A287" s="11" t="str">
        <f t="shared" si="1"/>
        <v/>
      </c>
      <c r="B287" s="16"/>
      <c r="C287" s="16"/>
      <c r="D287" s="16"/>
      <c r="E287" s="16"/>
      <c r="F287" s="17"/>
      <c r="G287" s="17"/>
      <c r="H287" s="17"/>
      <c r="I287" s="17"/>
      <c r="J287" s="17"/>
      <c r="K287" s="17"/>
      <c r="L287" s="17"/>
    </row>
    <row r="288">
      <c r="A288" s="11" t="str">
        <f t="shared" si="1"/>
        <v/>
      </c>
      <c r="B288" s="16"/>
      <c r="C288" s="16"/>
      <c r="D288" s="16"/>
      <c r="E288" s="16"/>
      <c r="F288" s="17"/>
      <c r="G288" s="17"/>
      <c r="H288" s="17"/>
      <c r="I288" s="17"/>
      <c r="J288" s="17"/>
      <c r="K288" s="17"/>
      <c r="L288" s="17"/>
    </row>
    <row r="289">
      <c r="A289" s="11" t="str">
        <f t="shared" si="1"/>
        <v/>
      </c>
      <c r="B289" s="16"/>
      <c r="C289" s="16"/>
      <c r="D289" s="16"/>
      <c r="E289" s="16"/>
      <c r="F289" s="17"/>
      <c r="G289" s="17"/>
      <c r="H289" s="17"/>
      <c r="I289" s="17"/>
      <c r="J289" s="17"/>
      <c r="K289" s="17"/>
      <c r="L289" s="17"/>
    </row>
    <row r="290">
      <c r="A290" s="11" t="str">
        <f t="shared" si="1"/>
        <v/>
      </c>
      <c r="B290" s="16"/>
      <c r="C290" s="16"/>
      <c r="D290" s="16"/>
      <c r="E290" s="16"/>
      <c r="F290" s="17"/>
      <c r="G290" s="17"/>
      <c r="H290" s="17"/>
      <c r="I290" s="17"/>
      <c r="J290" s="17"/>
      <c r="K290" s="17"/>
      <c r="L290" s="17"/>
    </row>
    <row r="291">
      <c r="A291" s="11" t="str">
        <f t="shared" si="1"/>
        <v/>
      </c>
      <c r="B291" s="16"/>
      <c r="C291" s="16"/>
      <c r="D291" s="16"/>
      <c r="E291" s="16"/>
      <c r="F291" s="17"/>
      <c r="G291" s="17"/>
      <c r="H291" s="17"/>
      <c r="I291" s="17"/>
      <c r="J291" s="17"/>
      <c r="K291" s="17"/>
      <c r="L291" s="17"/>
    </row>
    <row r="292">
      <c r="A292" s="11" t="str">
        <f t="shared" si="1"/>
        <v/>
      </c>
      <c r="B292" s="16"/>
      <c r="C292" s="16"/>
      <c r="D292" s="16"/>
      <c r="E292" s="16"/>
      <c r="F292" s="17"/>
      <c r="G292" s="17"/>
      <c r="H292" s="17"/>
      <c r="I292" s="17"/>
      <c r="J292" s="17"/>
      <c r="K292" s="17"/>
      <c r="L292" s="17"/>
    </row>
    <row r="293">
      <c r="A293" s="11" t="str">
        <f t="shared" si="1"/>
        <v/>
      </c>
      <c r="B293" s="16"/>
      <c r="C293" s="16"/>
      <c r="D293" s="16"/>
      <c r="E293" s="16"/>
      <c r="F293" s="17"/>
      <c r="G293" s="17"/>
      <c r="H293" s="17"/>
      <c r="I293" s="17"/>
      <c r="J293" s="17"/>
      <c r="K293" s="17"/>
      <c r="L293" s="17"/>
    </row>
    <row r="294">
      <c r="A294" s="11" t="str">
        <f t="shared" si="1"/>
        <v/>
      </c>
      <c r="B294" s="16"/>
      <c r="C294" s="16"/>
      <c r="D294" s="16"/>
      <c r="E294" s="16"/>
      <c r="F294" s="17"/>
      <c r="G294" s="17"/>
      <c r="H294" s="17"/>
      <c r="I294" s="17"/>
      <c r="J294" s="17"/>
      <c r="K294" s="17"/>
      <c r="L294" s="17"/>
    </row>
    <row r="295">
      <c r="A295" s="11" t="str">
        <f t="shared" si="1"/>
        <v/>
      </c>
      <c r="B295" s="16"/>
      <c r="C295" s="16"/>
      <c r="D295" s="16"/>
      <c r="E295" s="16"/>
      <c r="F295" s="17"/>
      <c r="G295" s="17"/>
      <c r="H295" s="17"/>
      <c r="I295" s="17"/>
      <c r="J295" s="17"/>
      <c r="K295" s="17"/>
      <c r="L295" s="17"/>
    </row>
    <row r="296">
      <c r="A296" s="11" t="str">
        <f t="shared" si="1"/>
        <v/>
      </c>
      <c r="B296" s="16"/>
      <c r="C296" s="16"/>
      <c r="D296" s="16"/>
      <c r="E296" s="16"/>
      <c r="F296" s="17"/>
      <c r="G296" s="17"/>
      <c r="H296" s="17"/>
      <c r="I296" s="17"/>
      <c r="J296" s="17"/>
      <c r="K296" s="17"/>
      <c r="L296" s="17"/>
    </row>
    <row r="297">
      <c r="A297" s="11" t="str">
        <f t="shared" si="1"/>
        <v/>
      </c>
      <c r="B297" s="16"/>
      <c r="C297" s="16"/>
      <c r="D297" s="16"/>
      <c r="E297" s="16"/>
      <c r="F297" s="17"/>
      <c r="G297" s="17"/>
      <c r="H297" s="17"/>
      <c r="I297" s="17"/>
      <c r="J297" s="17"/>
      <c r="K297" s="17"/>
      <c r="L297" s="17"/>
    </row>
    <row r="298">
      <c r="A298" s="11" t="str">
        <f t="shared" si="1"/>
        <v/>
      </c>
      <c r="B298" s="16"/>
      <c r="C298" s="16"/>
      <c r="D298" s="16"/>
      <c r="E298" s="16"/>
      <c r="F298" s="17"/>
      <c r="G298" s="17"/>
      <c r="H298" s="17"/>
      <c r="I298" s="17"/>
      <c r="J298" s="17"/>
      <c r="K298" s="17"/>
      <c r="L298" s="17"/>
    </row>
    <row r="299">
      <c r="A299" s="11" t="str">
        <f t="shared" si="1"/>
        <v/>
      </c>
      <c r="B299" s="16"/>
      <c r="C299" s="16"/>
      <c r="D299" s="16"/>
      <c r="E299" s="16"/>
      <c r="F299" s="17"/>
      <c r="G299" s="17"/>
      <c r="H299" s="17"/>
      <c r="I299" s="17"/>
      <c r="J299" s="17"/>
      <c r="K299" s="17"/>
      <c r="L299" s="17"/>
    </row>
    <row r="300">
      <c r="A300" s="11" t="str">
        <f t="shared" si="1"/>
        <v/>
      </c>
      <c r="B300" s="16"/>
      <c r="C300" s="16"/>
      <c r="D300" s="16"/>
      <c r="E300" s="16"/>
      <c r="F300" s="17"/>
      <c r="G300" s="17"/>
      <c r="H300" s="17"/>
      <c r="I300" s="17"/>
      <c r="J300" s="17"/>
      <c r="K300" s="17"/>
      <c r="L300" s="17"/>
    </row>
    <row r="301">
      <c r="A301" s="11" t="str">
        <f t="shared" si="1"/>
        <v/>
      </c>
      <c r="B301" s="16"/>
      <c r="C301" s="16"/>
      <c r="D301" s="16"/>
      <c r="E301" s="16"/>
      <c r="F301" s="17"/>
      <c r="G301" s="17"/>
      <c r="H301" s="17"/>
      <c r="I301" s="17"/>
      <c r="J301" s="17"/>
      <c r="K301" s="17"/>
      <c r="L301" s="17"/>
    </row>
    <row r="302">
      <c r="A302" s="11" t="str">
        <f t="shared" si="1"/>
        <v/>
      </c>
      <c r="B302" s="16"/>
      <c r="C302" s="16"/>
      <c r="D302" s="16"/>
      <c r="E302" s="16"/>
      <c r="F302" s="17"/>
      <c r="G302" s="17"/>
      <c r="H302" s="17"/>
      <c r="I302" s="17"/>
      <c r="J302" s="17"/>
      <c r="K302" s="17"/>
      <c r="L302" s="17"/>
    </row>
    <row r="303">
      <c r="A303" s="11" t="str">
        <f t="shared" si="1"/>
        <v/>
      </c>
      <c r="B303" s="16"/>
      <c r="C303" s="16"/>
      <c r="D303" s="16"/>
      <c r="E303" s="16"/>
      <c r="F303" s="17"/>
      <c r="G303" s="17"/>
      <c r="H303" s="17"/>
      <c r="I303" s="17"/>
      <c r="J303" s="17"/>
      <c r="K303" s="17"/>
      <c r="L303" s="17"/>
    </row>
    <row r="304">
      <c r="A304" s="11" t="str">
        <f t="shared" si="1"/>
        <v/>
      </c>
      <c r="B304" s="16"/>
      <c r="C304" s="16"/>
      <c r="D304" s="16"/>
      <c r="E304" s="16"/>
      <c r="F304" s="17"/>
      <c r="G304" s="17"/>
      <c r="H304" s="17"/>
      <c r="I304" s="17"/>
      <c r="J304" s="17"/>
      <c r="K304" s="17"/>
      <c r="L304" s="17"/>
    </row>
    <row r="305">
      <c r="A305" s="11" t="str">
        <f t="shared" si="1"/>
        <v/>
      </c>
      <c r="B305" s="16"/>
      <c r="C305" s="16"/>
      <c r="D305" s="16"/>
      <c r="E305" s="16"/>
      <c r="F305" s="17"/>
      <c r="G305" s="17"/>
      <c r="H305" s="17"/>
      <c r="I305" s="17"/>
      <c r="J305" s="17"/>
      <c r="K305" s="17"/>
      <c r="L305" s="17"/>
    </row>
    <row r="306">
      <c r="A306" s="11" t="str">
        <f t="shared" si="1"/>
        <v/>
      </c>
      <c r="B306" s="16"/>
      <c r="C306" s="16"/>
      <c r="D306" s="16"/>
      <c r="E306" s="16"/>
      <c r="F306" s="17"/>
      <c r="G306" s="17"/>
      <c r="H306" s="17"/>
      <c r="I306" s="17"/>
      <c r="J306" s="17"/>
      <c r="K306" s="17"/>
      <c r="L306" s="17"/>
    </row>
    <row r="307">
      <c r="A307" s="11" t="str">
        <f t="shared" si="1"/>
        <v/>
      </c>
      <c r="B307" s="16"/>
      <c r="C307" s="16"/>
      <c r="D307" s="16"/>
      <c r="E307" s="16"/>
      <c r="F307" s="17"/>
      <c r="G307" s="17"/>
      <c r="H307" s="17"/>
      <c r="I307" s="17"/>
      <c r="J307" s="17"/>
      <c r="K307" s="17"/>
      <c r="L307" s="17"/>
    </row>
    <row r="308">
      <c r="A308" s="11" t="str">
        <f t="shared" si="1"/>
        <v/>
      </c>
      <c r="B308" s="16"/>
      <c r="C308" s="16"/>
      <c r="D308" s="16"/>
      <c r="E308" s="16"/>
      <c r="F308" s="17"/>
      <c r="G308" s="17"/>
      <c r="H308" s="17"/>
      <c r="I308" s="17"/>
      <c r="J308" s="17"/>
      <c r="K308" s="17"/>
      <c r="L308" s="17"/>
    </row>
    <row r="309">
      <c r="A309" s="11" t="str">
        <f t="shared" si="1"/>
        <v/>
      </c>
      <c r="B309" s="16"/>
      <c r="C309" s="16"/>
      <c r="D309" s="16"/>
      <c r="E309" s="16"/>
      <c r="F309" s="17"/>
      <c r="G309" s="17"/>
      <c r="H309" s="17"/>
      <c r="I309" s="17"/>
      <c r="J309" s="17"/>
      <c r="K309" s="17"/>
      <c r="L309" s="17"/>
    </row>
    <row r="310">
      <c r="A310" s="11" t="str">
        <f t="shared" si="1"/>
        <v/>
      </c>
      <c r="B310" s="16"/>
      <c r="C310" s="16"/>
      <c r="D310" s="16"/>
      <c r="E310" s="16"/>
      <c r="F310" s="17"/>
      <c r="G310" s="17"/>
      <c r="H310" s="17"/>
      <c r="I310" s="17"/>
      <c r="J310" s="17"/>
      <c r="K310" s="17"/>
      <c r="L310" s="17"/>
    </row>
    <row r="311">
      <c r="A311" s="11" t="str">
        <f t="shared" si="1"/>
        <v/>
      </c>
      <c r="B311" s="16"/>
      <c r="C311" s="16"/>
      <c r="D311" s="16"/>
      <c r="E311" s="16"/>
      <c r="F311" s="17"/>
      <c r="G311" s="17"/>
      <c r="H311" s="17"/>
      <c r="I311" s="17"/>
      <c r="J311" s="17"/>
      <c r="K311" s="17"/>
      <c r="L311" s="17"/>
    </row>
    <row r="312">
      <c r="A312" s="11" t="str">
        <f t="shared" si="1"/>
        <v/>
      </c>
      <c r="B312" s="16"/>
      <c r="C312" s="16"/>
      <c r="D312" s="16"/>
      <c r="E312" s="16"/>
      <c r="F312" s="17"/>
      <c r="G312" s="17"/>
      <c r="H312" s="17"/>
      <c r="I312" s="17"/>
      <c r="J312" s="17"/>
      <c r="K312" s="17"/>
      <c r="L312" s="17"/>
    </row>
    <row r="313">
      <c r="A313" s="11" t="str">
        <f t="shared" si="1"/>
        <v/>
      </c>
      <c r="B313" s="16"/>
      <c r="C313" s="16"/>
      <c r="D313" s="16"/>
      <c r="E313" s="16"/>
      <c r="F313" s="17"/>
      <c r="G313" s="17"/>
      <c r="H313" s="17"/>
      <c r="I313" s="17"/>
      <c r="J313" s="17"/>
      <c r="K313" s="17"/>
      <c r="L313" s="17"/>
    </row>
    <row r="314">
      <c r="A314" s="11" t="str">
        <f t="shared" si="1"/>
        <v/>
      </c>
      <c r="B314" s="16"/>
      <c r="C314" s="16"/>
      <c r="D314" s="16"/>
      <c r="E314" s="16"/>
      <c r="F314" s="17"/>
      <c r="G314" s="17"/>
      <c r="H314" s="17"/>
      <c r="I314" s="17"/>
      <c r="J314" s="17"/>
      <c r="K314" s="17"/>
      <c r="L314" s="17"/>
    </row>
    <row r="315">
      <c r="A315" s="11" t="str">
        <f t="shared" si="1"/>
        <v/>
      </c>
      <c r="B315" s="16"/>
      <c r="C315" s="16"/>
      <c r="D315" s="16"/>
      <c r="E315" s="16"/>
      <c r="F315" s="17"/>
      <c r="G315" s="17"/>
      <c r="H315" s="17"/>
      <c r="I315" s="17"/>
      <c r="J315" s="17"/>
      <c r="K315" s="17"/>
      <c r="L315" s="17"/>
    </row>
    <row r="316">
      <c r="A316" s="11" t="str">
        <f t="shared" si="1"/>
        <v/>
      </c>
      <c r="B316" s="16"/>
      <c r="C316" s="16"/>
      <c r="D316" s="16"/>
      <c r="E316" s="16"/>
      <c r="F316" s="17"/>
      <c r="G316" s="17"/>
      <c r="H316" s="17"/>
      <c r="I316" s="17"/>
      <c r="J316" s="17"/>
      <c r="K316" s="17"/>
      <c r="L316" s="17"/>
    </row>
    <row r="317">
      <c r="A317" s="11" t="str">
        <f t="shared" si="1"/>
        <v/>
      </c>
      <c r="B317" s="16"/>
      <c r="C317" s="16"/>
      <c r="D317" s="16"/>
      <c r="E317" s="16"/>
      <c r="F317" s="17"/>
      <c r="G317" s="17"/>
      <c r="H317" s="17"/>
      <c r="I317" s="17"/>
      <c r="J317" s="17"/>
      <c r="K317" s="17"/>
      <c r="L317" s="17"/>
    </row>
    <row r="318">
      <c r="A318" s="11" t="str">
        <f t="shared" si="1"/>
        <v/>
      </c>
      <c r="B318" s="16"/>
      <c r="C318" s="16"/>
      <c r="D318" s="16"/>
      <c r="E318" s="16"/>
      <c r="F318" s="17"/>
      <c r="G318" s="17"/>
      <c r="H318" s="17"/>
      <c r="I318" s="17"/>
      <c r="J318" s="17"/>
      <c r="K318" s="17"/>
      <c r="L318" s="17"/>
    </row>
    <row r="319">
      <c r="A319" s="11" t="str">
        <f t="shared" si="1"/>
        <v/>
      </c>
      <c r="B319" s="16"/>
      <c r="C319" s="16"/>
      <c r="D319" s="16"/>
      <c r="E319" s="16"/>
      <c r="F319" s="17"/>
      <c r="G319" s="17"/>
      <c r="H319" s="17"/>
      <c r="I319" s="17"/>
      <c r="J319" s="17"/>
      <c r="K319" s="17"/>
      <c r="L319" s="17"/>
    </row>
    <row r="320">
      <c r="A320" s="11" t="str">
        <f t="shared" si="1"/>
        <v/>
      </c>
      <c r="B320" s="16"/>
      <c r="C320" s="16"/>
      <c r="D320" s="16"/>
      <c r="E320" s="16"/>
      <c r="F320" s="17"/>
      <c r="G320" s="17"/>
      <c r="H320" s="17"/>
      <c r="I320" s="17"/>
      <c r="J320" s="17"/>
      <c r="K320" s="17"/>
      <c r="L320" s="17"/>
    </row>
    <row r="321">
      <c r="A321" s="11" t="str">
        <f t="shared" si="1"/>
        <v/>
      </c>
      <c r="B321" s="16"/>
      <c r="C321" s="16"/>
      <c r="D321" s="16"/>
      <c r="E321" s="16"/>
      <c r="F321" s="17"/>
      <c r="G321" s="17"/>
      <c r="H321" s="17"/>
      <c r="I321" s="17"/>
      <c r="J321" s="17"/>
      <c r="K321" s="17"/>
      <c r="L321" s="17"/>
    </row>
    <row r="322">
      <c r="A322" s="11" t="str">
        <f t="shared" si="1"/>
        <v/>
      </c>
      <c r="B322" s="16"/>
      <c r="C322" s="16"/>
      <c r="D322" s="16"/>
      <c r="E322" s="16"/>
      <c r="F322" s="17"/>
      <c r="G322" s="17"/>
      <c r="H322" s="17"/>
      <c r="I322" s="17"/>
      <c r="J322" s="17"/>
      <c r="K322" s="17"/>
      <c r="L322" s="17"/>
    </row>
    <row r="323">
      <c r="A323" s="11" t="str">
        <f t="shared" si="1"/>
        <v/>
      </c>
      <c r="B323" s="16"/>
      <c r="C323" s="16"/>
      <c r="D323" s="16"/>
      <c r="E323" s="16"/>
      <c r="F323" s="17"/>
      <c r="G323" s="17"/>
      <c r="H323" s="17"/>
      <c r="I323" s="17"/>
      <c r="J323" s="17"/>
      <c r="K323" s="17"/>
      <c r="L323" s="17"/>
    </row>
    <row r="324">
      <c r="A324" s="11" t="str">
        <f t="shared" si="1"/>
        <v/>
      </c>
      <c r="B324" s="16"/>
      <c r="C324" s="16"/>
      <c r="D324" s="16"/>
      <c r="E324" s="16"/>
      <c r="F324" s="17"/>
      <c r="G324" s="17"/>
      <c r="H324" s="17"/>
      <c r="I324" s="17"/>
      <c r="J324" s="17"/>
      <c r="K324" s="17"/>
      <c r="L324" s="17"/>
    </row>
    <row r="325">
      <c r="A325" s="11" t="str">
        <f t="shared" si="1"/>
        <v/>
      </c>
      <c r="B325" s="16"/>
      <c r="C325" s="16"/>
      <c r="D325" s="16"/>
      <c r="E325" s="16"/>
      <c r="F325" s="17"/>
      <c r="G325" s="17"/>
      <c r="H325" s="17"/>
      <c r="I325" s="17"/>
      <c r="J325" s="17"/>
      <c r="K325" s="17"/>
      <c r="L325" s="17"/>
    </row>
    <row r="326">
      <c r="A326" s="11" t="str">
        <f t="shared" si="1"/>
        <v/>
      </c>
      <c r="B326" s="16"/>
      <c r="C326" s="16"/>
      <c r="D326" s="16"/>
      <c r="E326" s="16"/>
      <c r="F326" s="17"/>
      <c r="G326" s="17"/>
      <c r="H326" s="17"/>
      <c r="I326" s="17"/>
      <c r="J326" s="17"/>
      <c r="K326" s="17"/>
      <c r="L326" s="17"/>
    </row>
    <row r="327">
      <c r="A327" s="11" t="str">
        <f t="shared" si="1"/>
        <v/>
      </c>
      <c r="B327" s="16"/>
      <c r="C327" s="16"/>
      <c r="D327" s="16"/>
      <c r="E327" s="16"/>
      <c r="F327" s="17"/>
      <c r="G327" s="17"/>
      <c r="H327" s="17"/>
      <c r="I327" s="17"/>
      <c r="J327" s="17"/>
      <c r="K327" s="17"/>
      <c r="L327" s="17"/>
    </row>
    <row r="328">
      <c r="A328" s="11" t="str">
        <f t="shared" si="1"/>
        <v/>
      </c>
      <c r="B328" s="16"/>
      <c r="C328" s="16"/>
      <c r="D328" s="16"/>
      <c r="E328" s="16"/>
      <c r="F328" s="17"/>
      <c r="G328" s="17"/>
      <c r="H328" s="17"/>
      <c r="I328" s="17"/>
      <c r="J328" s="17"/>
      <c r="K328" s="17"/>
      <c r="L328" s="17"/>
    </row>
    <row r="329">
      <c r="A329" s="11" t="str">
        <f t="shared" si="1"/>
        <v/>
      </c>
      <c r="B329" s="16"/>
      <c r="C329" s="16"/>
      <c r="D329" s="16"/>
      <c r="E329" s="16"/>
      <c r="F329" s="17"/>
      <c r="G329" s="17"/>
      <c r="H329" s="17"/>
      <c r="I329" s="17"/>
      <c r="J329" s="17"/>
      <c r="K329" s="17"/>
      <c r="L329" s="17"/>
    </row>
    <row r="330">
      <c r="A330" s="11" t="str">
        <f t="shared" si="1"/>
        <v/>
      </c>
      <c r="B330" s="16"/>
      <c r="C330" s="16"/>
      <c r="D330" s="16"/>
      <c r="E330" s="16"/>
      <c r="F330" s="17"/>
      <c r="G330" s="17"/>
      <c r="H330" s="17"/>
      <c r="I330" s="17"/>
      <c r="J330" s="17"/>
      <c r="K330" s="17"/>
      <c r="L330" s="17"/>
    </row>
    <row r="331">
      <c r="A331" s="11" t="str">
        <f t="shared" si="1"/>
        <v/>
      </c>
      <c r="B331" s="16"/>
      <c r="C331" s="16"/>
      <c r="D331" s="16"/>
      <c r="E331" s="16"/>
      <c r="F331" s="17"/>
      <c r="G331" s="17"/>
      <c r="H331" s="17"/>
      <c r="I331" s="17"/>
      <c r="J331" s="17"/>
      <c r="K331" s="17"/>
      <c r="L331" s="17"/>
    </row>
    <row r="332">
      <c r="A332" s="11" t="str">
        <f t="shared" si="1"/>
        <v/>
      </c>
      <c r="B332" s="16"/>
      <c r="C332" s="16"/>
      <c r="D332" s="16"/>
      <c r="E332" s="16"/>
      <c r="F332" s="17"/>
      <c r="G332" s="17"/>
      <c r="H332" s="17"/>
      <c r="I332" s="17"/>
      <c r="J332" s="17"/>
      <c r="K332" s="17"/>
      <c r="L332" s="17"/>
    </row>
    <row r="333">
      <c r="A333" s="11" t="str">
        <f t="shared" si="1"/>
        <v/>
      </c>
      <c r="B333" s="16"/>
      <c r="C333" s="16"/>
      <c r="D333" s="16"/>
      <c r="E333" s="16"/>
      <c r="F333" s="17"/>
      <c r="G333" s="17"/>
      <c r="H333" s="17"/>
      <c r="I333" s="17"/>
      <c r="J333" s="17"/>
      <c r="K333" s="17"/>
      <c r="L333" s="17"/>
    </row>
    <row r="334">
      <c r="A334" s="11" t="str">
        <f t="shared" si="1"/>
        <v/>
      </c>
      <c r="B334" s="16"/>
      <c r="C334" s="16"/>
      <c r="D334" s="16"/>
      <c r="E334" s="16"/>
      <c r="F334" s="17"/>
      <c r="G334" s="17"/>
      <c r="H334" s="17"/>
      <c r="I334" s="17"/>
      <c r="J334" s="17"/>
      <c r="K334" s="17"/>
      <c r="L334" s="17"/>
    </row>
    <row r="335">
      <c r="A335" s="11" t="str">
        <f t="shared" si="1"/>
        <v/>
      </c>
      <c r="B335" s="16"/>
      <c r="C335" s="16"/>
      <c r="D335" s="16"/>
      <c r="E335" s="16"/>
      <c r="F335" s="17"/>
      <c r="G335" s="17"/>
      <c r="H335" s="17"/>
      <c r="I335" s="17"/>
      <c r="J335" s="17"/>
      <c r="K335" s="17"/>
      <c r="L335" s="17"/>
    </row>
    <row r="336">
      <c r="A336" s="11" t="str">
        <f t="shared" si="1"/>
        <v/>
      </c>
      <c r="B336" s="16"/>
      <c r="C336" s="16"/>
      <c r="D336" s="16"/>
      <c r="E336" s="16"/>
      <c r="F336" s="17"/>
      <c r="G336" s="17"/>
      <c r="H336" s="17"/>
      <c r="I336" s="17"/>
      <c r="J336" s="17"/>
      <c r="K336" s="17"/>
      <c r="L336" s="17"/>
    </row>
    <row r="337">
      <c r="A337" s="11" t="str">
        <f t="shared" si="1"/>
        <v/>
      </c>
      <c r="B337" s="16"/>
      <c r="C337" s="16"/>
      <c r="D337" s="16"/>
      <c r="E337" s="16"/>
      <c r="F337" s="17"/>
      <c r="G337" s="17"/>
      <c r="H337" s="17"/>
      <c r="I337" s="17"/>
      <c r="J337" s="17"/>
      <c r="K337" s="17"/>
      <c r="L337" s="17"/>
    </row>
    <row r="338">
      <c r="A338" s="11" t="str">
        <f t="shared" si="1"/>
        <v/>
      </c>
      <c r="B338" s="16"/>
      <c r="C338" s="16"/>
      <c r="D338" s="16"/>
      <c r="E338" s="16"/>
      <c r="F338" s="17"/>
      <c r="G338" s="17"/>
      <c r="H338" s="17"/>
      <c r="I338" s="17"/>
      <c r="J338" s="17"/>
      <c r="K338" s="17"/>
      <c r="L338" s="17"/>
    </row>
    <row r="339">
      <c r="A339" s="11" t="str">
        <f t="shared" si="1"/>
        <v/>
      </c>
      <c r="B339" s="16"/>
      <c r="C339" s="16"/>
      <c r="D339" s="16"/>
      <c r="E339" s="16"/>
      <c r="F339" s="17"/>
      <c r="G339" s="17"/>
      <c r="H339" s="17"/>
      <c r="I339" s="17"/>
      <c r="J339" s="17"/>
      <c r="K339" s="17"/>
      <c r="L339" s="17"/>
    </row>
    <row r="340">
      <c r="A340" s="11" t="str">
        <f t="shared" si="1"/>
        <v/>
      </c>
      <c r="B340" s="16"/>
      <c r="C340" s="16"/>
      <c r="D340" s="16"/>
      <c r="E340" s="16"/>
      <c r="F340" s="17"/>
      <c r="G340" s="17"/>
      <c r="H340" s="17"/>
      <c r="I340" s="17"/>
      <c r="J340" s="17"/>
      <c r="K340" s="17"/>
      <c r="L340" s="17"/>
    </row>
    <row r="341">
      <c r="A341" s="11" t="str">
        <f t="shared" si="1"/>
        <v/>
      </c>
      <c r="B341" s="16"/>
      <c r="C341" s="16"/>
      <c r="D341" s="16"/>
      <c r="E341" s="16"/>
      <c r="F341" s="17"/>
      <c r="G341" s="17"/>
      <c r="H341" s="17"/>
      <c r="I341" s="17"/>
      <c r="J341" s="17"/>
      <c r="K341" s="17"/>
      <c r="L341" s="17"/>
    </row>
    <row r="342">
      <c r="A342" s="11" t="str">
        <f t="shared" si="1"/>
        <v/>
      </c>
      <c r="B342" s="16"/>
      <c r="C342" s="16"/>
      <c r="D342" s="16"/>
      <c r="E342" s="16"/>
      <c r="F342" s="17"/>
      <c r="G342" s="17"/>
      <c r="H342" s="17"/>
      <c r="I342" s="17"/>
      <c r="J342" s="17"/>
      <c r="K342" s="17"/>
      <c r="L342" s="17"/>
    </row>
    <row r="343">
      <c r="A343" s="11" t="str">
        <f t="shared" si="1"/>
        <v/>
      </c>
      <c r="B343" s="16"/>
      <c r="C343" s="16"/>
      <c r="D343" s="16"/>
      <c r="E343" s="16"/>
      <c r="F343" s="17"/>
      <c r="G343" s="17"/>
      <c r="H343" s="17"/>
      <c r="I343" s="17"/>
      <c r="J343" s="17"/>
      <c r="K343" s="17"/>
      <c r="L343" s="17"/>
    </row>
    <row r="344">
      <c r="A344" s="11" t="str">
        <f t="shared" si="1"/>
        <v/>
      </c>
      <c r="B344" s="16"/>
      <c r="C344" s="16"/>
      <c r="D344" s="16"/>
      <c r="E344" s="16"/>
      <c r="F344" s="17"/>
      <c r="G344" s="17"/>
      <c r="H344" s="17"/>
      <c r="I344" s="17"/>
      <c r="J344" s="17"/>
      <c r="K344" s="17"/>
      <c r="L344" s="17"/>
    </row>
    <row r="345">
      <c r="A345" s="11" t="str">
        <f t="shared" si="1"/>
        <v/>
      </c>
      <c r="B345" s="16"/>
      <c r="C345" s="16"/>
      <c r="D345" s="16"/>
      <c r="E345" s="16"/>
      <c r="F345" s="17"/>
      <c r="G345" s="17"/>
      <c r="H345" s="17"/>
      <c r="I345" s="17"/>
      <c r="J345" s="17"/>
      <c r="K345" s="17"/>
      <c r="L345" s="17"/>
    </row>
    <row r="346">
      <c r="A346" s="11" t="str">
        <f t="shared" si="1"/>
        <v/>
      </c>
      <c r="B346" s="16"/>
      <c r="C346" s="16"/>
      <c r="D346" s="16"/>
      <c r="E346" s="16"/>
      <c r="F346" s="17"/>
      <c r="G346" s="17"/>
      <c r="H346" s="17"/>
      <c r="I346" s="17"/>
      <c r="J346" s="17"/>
      <c r="K346" s="17"/>
      <c r="L346" s="17"/>
    </row>
    <row r="347">
      <c r="A347" s="11" t="str">
        <f t="shared" si="1"/>
        <v/>
      </c>
      <c r="B347" s="16"/>
      <c r="C347" s="16"/>
      <c r="D347" s="16"/>
      <c r="E347" s="16"/>
      <c r="F347" s="17"/>
      <c r="G347" s="17"/>
      <c r="H347" s="17"/>
      <c r="I347" s="17"/>
      <c r="J347" s="17"/>
      <c r="K347" s="17"/>
      <c r="L347" s="17"/>
    </row>
    <row r="348">
      <c r="A348" s="11" t="str">
        <f t="shared" si="1"/>
        <v/>
      </c>
      <c r="B348" s="16"/>
      <c r="C348" s="16"/>
      <c r="D348" s="16"/>
      <c r="E348" s="16"/>
      <c r="F348" s="17"/>
      <c r="G348" s="17"/>
      <c r="H348" s="17"/>
      <c r="I348" s="17"/>
      <c r="J348" s="17"/>
      <c r="K348" s="17"/>
      <c r="L348" s="17"/>
    </row>
    <row r="349">
      <c r="A349" s="11" t="str">
        <f t="shared" si="1"/>
        <v/>
      </c>
      <c r="B349" s="16"/>
      <c r="C349" s="16"/>
      <c r="D349" s="16"/>
      <c r="E349" s="16"/>
      <c r="F349" s="17"/>
      <c r="G349" s="17"/>
      <c r="H349" s="17"/>
      <c r="I349" s="17"/>
      <c r="J349" s="17"/>
      <c r="K349" s="17"/>
      <c r="L349" s="17"/>
    </row>
    <row r="350">
      <c r="A350" s="11" t="str">
        <f t="shared" si="1"/>
        <v/>
      </c>
      <c r="B350" s="16"/>
      <c r="C350" s="16"/>
      <c r="D350" s="16"/>
      <c r="E350" s="16"/>
      <c r="F350" s="17"/>
      <c r="G350" s="17"/>
      <c r="H350" s="17"/>
      <c r="I350" s="17"/>
      <c r="J350" s="17"/>
      <c r="K350" s="17"/>
      <c r="L350" s="17"/>
    </row>
    <row r="351">
      <c r="A351" s="11" t="str">
        <f t="shared" si="1"/>
        <v/>
      </c>
      <c r="B351" s="16"/>
      <c r="C351" s="16"/>
      <c r="D351" s="16"/>
      <c r="E351" s="16"/>
      <c r="F351" s="17"/>
      <c r="G351" s="17"/>
      <c r="H351" s="17"/>
      <c r="I351" s="17"/>
      <c r="J351" s="17"/>
      <c r="K351" s="17"/>
      <c r="L351" s="17"/>
    </row>
    <row r="352">
      <c r="A352" s="11" t="str">
        <f t="shared" si="1"/>
        <v/>
      </c>
      <c r="B352" s="16"/>
      <c r="C352" s="16"/>
      <c r="D352" s="16"/>
      <c r="E352" s="16"/>
      <c r="F352" s="17"/>
      <c r="G352" s="17"/>
      <c r="H352" s="17"/>
      <c r="I352" s="17"/>
      <c r="J352" s="17"/>
      <c r="K352" s="17"/>
      <c r="L352" s="17"/>
    </row>
    <row r="353">
      <c r="A353" s="11" t="str">
        <f t="shared" si="1"/>
        <v/>
      </c>
      <c r="B353" s="16"/>
      <c r="C353" s="16"/>
      <c r="D353" s="16"/>
      <c r="E353" s="16"/>
      <c r="F353" s="17"/>
      <c r="G353" s="17"/>
      <c r="H353" s="17"/>
      <c r="I353" s="17"/>
      <c r="J353" s="17"/>
      <c r="K353" s="17"/>
      <c r="L353" s="17"/>
    </row>
    <row r="354">
      <c r="A354" s="11" t="str">
        <f t="shared" si="1"/>
        <v/>
      </c>
      <c r="B354" s="16"/>
      <c r="C354" s="16"/>
      <c r="D354" s="16"/>
      <c r="E354" s="16"/>
      <c r="F354" s="17"/>
      <c r="G354" s="17"/>
      <c r="H354" s="17"/>
      <c r="I354" s="17"/>
      <c r="J354" s="17"/>
      <c r="K354" s="17"/>
      <c r="L354" s="17"/>
    </row>
    <row r="355">
      <c r="A355" s="11" t="str">
        <f t="shared" si="1"/>
        <v/>
      </c>
      <c r="B355" s="16"/>
      <c r="C355" s="16"/>
      <c r="D355" s="16"/>
      <c r="E355" s="16"/>
      <c r="F355" s="17"/>
      <c r="G355" s="17"/>
      <c r="H355" s="17"/>
      <c r="I355" s="17"/>
      <c r="J355" s="17"/>
      <c r="K355" s="17"/>
      <c r="L355" s="17"/>
    </row>
    <row r="356">
      <c r="A356" s="11" t="str">
        <f t="shared" si="1"/>
        <v/>
      </c>
      <c r="B356" s="16"/>
      <c r="C356" s="16"/>
      <c r="D356" s="16"/>
      <c r="E356" s="16"/>
      <c r="F356" s="17"/>
      <c r="G356" s="17"/>
      <c r="H356" s="17"/>
      <c r="I356" s="17"/>
      <c r="J356" s="17"/>
      <c r="K356" s="17"/>
      <c r="L356" s="17"/>
    </row>
    <row r="357">
      <c r="A357" s="11" t="str">
        <f t="shared" si="1"/>
        <v/>
      </c>
      <c r="B357" s="16"/>
      <c r="C357" s="16"/>
      <c r="D357" s="16"/>
      <c r="E357" s="16"/>
      <c r="F357" s="17"/>
      <c r="G357" s="17"/>
      <c r="H357" s="17"/>
      <c r="I357" s="17"/>
      <c r="J357" s="17"/>
      <c r="K357" s="17"/>
      <c r="L357" s="17"/>
    </row>
    <row r="358">
      <c r="A358" s="11" t="str">
        <f t="shared" si="1"/>
        <v/>
      </c>
      <c r="B358" s="16"/>
      <c r="C358" s="16"/>
      <c r="D358" s="16"/>
      <c r="E358" s="16"/>
      <c r="F358" s="17"/>
      <c r="G358" s="17"/>
      <c r="H358" s="17"/>
      <c r="I358" s="17"/>
      <c r="J358" s="17"/>
      <c r="K358" s="17"/>
      <c r="L358" s="17"/>
    </row>
    <row r="359">
      <c r="A359" s="11" t="str">
        <f t="shared" si="1"/>
        <v/>
      </c>
      <c r="B359" s="16"/>
      <c r="C359" s="16"/>
      <c r="D359" s="16"/>
      <c r="E359" s="16"/>
      <c r="F359" s="17"/>
      <c r="G359" s="17"/>
      <c r="H359" s="17"/>
      <c r="I359" s="17"/>
      <c r="J359" s="17"/>
      <c r="K359" s="17"/>
      <c r="L359" s="17"/>
    </row>
    <row r="360">
      <c r="A360" s="11" t="str">
        <f t="shared" si="1"/>
        <v/>
      </c>
      <c r="B360" s="16"/>
      <c r="C360" s="16"/>
      <c r="D360" s="16"/>
      <c r="E360" s="16"/>
      <c r="F360" s="17"/>
      <c r="G360" s="17"/>
      <c r="H360" s="17"/>
      <c r="I360" s="17"/>
      <c r="J360" s="17"/>
      <c r="K360" s="17"/>
      <c r="L360" s="17"/>
    </row>
    <row r="361">
      <c r="A361" s="11" t="str">
        <f t="shared" si="1"/>
        <v/>
      </c>
      <c r="B361" s="16"/>
      <c r="C361" s="16"/>
      <c r="D361" s="16"/>
      <c r="E361" s="16"/>
      <c r="F361" s="17"/>
      <c r="G361" s="17"/>
      <c r="H361" s="17"/>
      <c r="I361" s="17"/>
      <c r="J361" s="17"/>
      <c r="K361" s="17"/>
      <c r="L361" s="17"/>
    </row>
    <row r="362">
      <c r="A362" s="11" t="str">
        <f t="shared" si="1"/>
        <v/>
      </c>
      <c r="B362" s="16"/>
      <c r="C362" s="16"/>
      <c r="D362" s="16"/>
      <c r="E362" s="16"/>
      <c r="F362" s="17"/>
      <c r="G362" s="17"/>
      <c r="H362" s="17"/>
      <c r="I362" s="17"/>
      <c r="J362" s="17"/>
      <c r="K362" s="17"/>
      <c r="L362" s="17"/>
    </row>
    <row r="363">
      <c r="A363" s="11" t="str">
        <f t="shared" si="1"/>
        <v/>
      </c>
      <c r="B363" s="16"/>
      <c r="C363" s="16"/>
      <c r="D363" s="16"/>
      <c r="E363" s="16"/>
      <c r="F363" s="17"/>
      <c r="G363" s="17"/>
      <c r="H363" s="17"/>
      <c r="I363" s="17"/>
      <c r="J363" s="17"/>
      <c r="K363" s="17"/>
      <c r="L363" s="17"/>
    </row>
    <row r="364">
      <c r="A364" s="11" t="str">
        <f t="shared" si="1"/>
        <v/>
      </c>
      <c r="B364" s="16"/>
      <c r="C364" s="16"/>
      <c r="D364" s="16"/>
      <c r="E364" s="16"/>
      <c r="F364" s="17"/>
      <c r="G364" s="17"/>
      <c r="H364" s="17"/>
      <c r="I364" s="17"/>
      <c r="J364" s="17"/>
      <c r="K364" s="17"/>
      <c r="L364" s="17"/>
    </row>
    <row r="365">
      <c r="A365" s="11" t="str">
        <f t="shared" si="1"/>
        <v/>
      </c>
      <c r="B365" s="16"/>
      <c r="C365" s="16"/>
      <c r="D365" s="16"/>
      <c r="E365" s="16"/>
      <c r="F365" s="17"/>
      <c r="G365" s="17"/>
      <c r="H365" s="17"/>
      <c r="I365" s="17"/>
      <c r="J365" s="17"/>
      <c r="K365" s="17"/>
      <c r="L365" s="17"/>
    </row>
    <row r="366">
      <c r="A366" s="11" t="str">
        <f t="shared" si="1"/>
        <v/>
      </c>
      <c r="B366" s="16"/>
      <c r="C366" s="16"/>
      <c r="D366" s="16"/>
      <c r="E366" s="16"/>
      <c r="F366" s="17"/>
      <c r="G366" s="17"/>
      <c r="H366" s="17"/>
      <c r="I366" s="17"/>
      <c r="J366" s="17"/>
      <c r="K366" s="17"/>
      <c r="L366" s="17"/>
    </row>
    <row r="367">
      <c r="A367" s="11" t="str">
        <f t="shared" si="1"/>
        <v/>
      </c>
      <c r="B367" s="16"/>
      <c r="C367" s="16"/>
      <c r="D367" s="16"/>
      <c r="E367" s="16"/>
      <c r="F367" s="17"/>
      <c r="G367" s="17"/>
      <c r="H367" s="17"/>
      <c r="I367" s="17"/>
      <c r="J367" s="17"/>
      <c r="K367" s="17"/>
      <c r="L367" s="17"/>
    </row>
    <row r="368">
      <c r="A368" s="11" t="str">
        <f t="shared" si="1"/>
        <v/>
      </c>
      <c r="B368" s="16"/>
      <c r="C368" s="16"/>
      <c r="D368" s="16"/>
      <c r="E368" s="16"/>
      <c r="F368" s="17"/>
      <c r="G368" s="17"/>
      <c r="H368" s="17"/>
      <c r="I368" s="17"/>
      <c r="J368" s="17"/>
      <c r="K368" s="17"/>
      <c r="L368" s="17"/>
    </row>
    <row r="369">
      <c r="A369" s="11" t="str">
        <f t="shared" si="1"/>
        <v/>
      </c>
      <c r="B369" s="16"/>
      <c r="C369" s="16"/>
      <c r="D369" s="16"/>
      <c r="E369" s="16"/>
      <c r="F369" s="17"/>
      <c r="G369" s="17"/>
      <c r="H369" s="17"/>
      <c r="I369" s="17"/>
      <c r="J369" s="17"/>
      <c r="K369" s="17"/>
      <c r="L369" s="17"/>
    </row>
    <row r="370">
      <c r="A370" s="11" t="str">
        <f t="shared" si="1"/>
        <v/>
      </c>
      <c r="B370" s="16"/>
      <c r="C370" s="16"/>
      <c r="D370" s="16"/>
      <c r="E370" s="16"/>
      <c r="F370" s="17"/>
      <c r="G370" s="17"/>
      <c r="H370" s="17"/>
      <c r="I370" s="17"/>
      <c r="J370" s="17"/>
      <c r="K370" s="17"/>
      <c r="L370" s="17"/>
    </row>
    <row r="371">
      <c r="A371" s="11" t="str">
        <f t="shared" si="1"/>
        <v/>
      </c>
      <c r="B371" s="16"/>
      <c r="C371" s="16"/>
      <c r="D371" s="16"/>
      <c r="E371" s="16"/>
      <c r="F371" s="17"/>
      <c r="G371" s="17"/>
      <c r="H371" s="17"/>
      <c r="I371" s="17"/>
      <c r="J371" s="17"/>
      <c r="K371" s="17"/>
      <c r="L371" s="17"/>
    </row>
    <row r="372">
      <c r="A372" s="11" t="str">
        <f t="shared" si="1"/>
        <v/>
      </c>
      <c r="B372" s="16"/>
      <c r="C372" s="16"/>
      <c r="D372" s="16"/>
      <c r="E372" s="16"/>
      <c r="F372" s="17"/>
      <c r="G372" s="17"/>
      <c r="H372" s="17"/>
      <c r="I372" s="17"/>
      <c r="J372" s="17"/>
      <c r="K372" s="17"/>
      <c r="L372" s="17"/>
    </row>
    <row r="373">
      <c r="A373" s="11" t="str">
        <f t="shared" si="1"/>
        <v/>
      </c>
      <c r="B373" s="16"/>
      <c r="C373" s="16"/>
      <c r="D373" s="16"/>
      <c r="E373" s="16"/>
      <c r="F373" s="17"/>
      <c r="G373" s="17"/>
      <c r="H373" s="17"/>
      <c r="I373" s="17"/>
      <c r="J373" s="17"/>
      <c r="K373" s="17"/>
      <c r="L373" s="17"/>
    </row>
    <row r="374">
      <c r="A374" s="11" t="str">
        <f t="shared" si="1"/>
        <v/>
      </c>
      <c r="B374" s="16"/>
      <c r="C374" s="16"/>
      <c r="D374" s="16"/>
      <c r="E374" s="16"/>
      <c r="F374" s="17"/>
      <c r="G374" s="17"/>
      <c r="H374" s="17"/>
      <c r="I374" s="17"/>
      <c r="J374" s="17"/>
      <c r="K374" s="17"/>
      <c r="L374" s="17"/>
    </row>
    <row r="375">
      <c r="A375" s="11" t="str">
        <f t="shared" si="1"/>
        <v/>
      </c>
      <c r="B375" s="16"/>
      <c r="C375" s="16"/>
      <c r="D375" s="16"/>
      <c r="E375" s="16"/>
      <c r="F375" s="17"/>
      <c r="G375" s="17"/>
      <c r="H375" s="17"/>
      <c r="I375" s="17"/>
      <c r="J375" s="17"/>
      <c r="K375" s="17"/>
      <c r="L375" s="17"/>
    </row>
    <row r="376">
      <c r="A376" s="11" t="str">
        <f t="shared" si="1"/>
        <v/>
      </c>
      <c r="B376" s="16"/>
      <c r="C376" s="16"/>
      <c r="D376" s="16"/>
      <c r="E376" s="16"/>
      <c r="F376" s="17"/>
      <c r="G376" s="17"/>
      <c r="H376" s="17"/>
      <c r="I376" s="17"/>
      <c r="J376" s="17"/>
      <c r="K376" s="17"/>
      <c r="L376" s="17"/>
    </row>
    <row r="377">
      <c r="A377" s="11" t="str">
        <f t="shared" si="1"/>
        <v/>
      </c>
      <c r="B377" s="16"/>
      <c r="C377" s="16"/>
      <c r="D377" s="16"/>
      <c r="E377" s="16"/>
      <c r="F377" s="17"/>
      <c r="G377" s="17"/>
      <c r="H377" s="17"/>
      <c r="I377" s="17"/>
      <c r="J377" s="17"/>
      <c r="K377" s="17"/>
      <c r="L377" s="17"/>
    </row>
    <row r="378">
      <c r="A378" s="11" t="str">
        <f t="shared" si="1"/>
        <v/>
      </c>
      <c r="B378" s="16"/>
      <c r="C378" s="16"/>
      <c r="D378" s="16"/>
      <c r="E378" s="16"/>
      <c r="F378" s="17"/>
      <c r="G378" s="17"/>
      <c r="H378" s="17"/>
      <c r="I378" s="17"/>
      <c r="J378" s="17"/>
      <c r="K378" s="17"/>
      <c r="L378" s="17"/>
    </row>
    <row r="379">
      <c r="A379" s="11" t="str">
        <f t="shared" si="1"/>
        <v/>
      </c>
      <c r="B379" s="16"/>
      <c r="C379" s="16"/>
      <c r="D379" s="16"/>
      <c r="E379" s="16"/>
      <c r="F379" s="17"/>
      <c r="G379" s="17"/>
      <c r="H379" s="17"/>
      <c r="I379" s="17"/>
      <c r="J379" s="17"/>
      <c r="K379" s="17"/>
      <c r="L379" s="17"/>
    </row>
    <row r="380">
      <c r="A380" s="11" t="str">
        <f t="shared" si="1"/>
        <v/>
      </c>
      <c r="B380" s="16"/>
      <c r="C380" s="16"/>
      <c r="D380" s="16"/>
      <c r="E380" s="16"/>
      <c r="F380" s="17"/>
      <c r="G380" s="17"/>
      <c r="H380" s="17"/>
      <c r="I380" s="17"/>
      <c r="J380" s="17"/>
      <c r="K380" s="17"/>
      <c r="L380" s="17"/>
    </row>
    <row r="381">
      <c r="A381" s="11" t="str">
        <f t="shared" si="1"/>
        <v/>
      </c>
      <c r="B381" s="16"/>
      <c r="C381" s="16"/>
      <c r="D381" s="16"/>
      <c r="E381" s="16"/>
      <c r="F381" s="17"/>
      <c r="G381" s="17"/>
      <c r="H381" s="17"/>
      <c r="I381" s="17"/>
      <c r="J381" s="17"/>
      <c r="K381" s="17"/>
      <c r="L381" s="17"/>
    </row>
    <row r="382">
      <c r="A382" s="11" t="str">
        <f t="shared" si="1"/>
        <v/>
      </c>
      <c r="B382" s="16"/>
      <c r="C382" s="16"/>
      <c r="D382" s="16"/>
      <c r="E382" s="16"/>
      <c r="F382" s="17"/>
      <c r="G382" s="17"/>
      <c r="H382" s="17"/>
      <c r="I382" s="17"/>
      <c r="J382" s="17"/>
      <c r="K382" s="17"/>
      <c r="L382" s="17"/>
    </row>
    <row r="383">
      <c r="A383" s="11" t="str">
        <f t="shared" si="1"/>
        <v/>
      </c>
      <c r="B383" s="16"/>
      <c r="C383" s="16"/>
      <c r="D383" s="16"/>
      <c r="E383" s="16"/>
      <c r="F383" s="17"/>
      <c r="G383" s="17"/>
      <c r="H383" s="17"/>
      <c r="I383" s="17"/>
      <c r="J383" s="17"/>
      <c r="K383" s="17"/>
      <c r="L383" s="17"/>
    </row>
    <row r="384">
      <c r="A384" s="11" t="str">
        <f t="shared" si="1"/>
        <v/>
      </c>
      <c r="B384" s="16"/>
      <c r="C384" s="16"/>
      <c r="D384" s="16"/>
      <c r="E384" s="16"/>
      <c r="F384" s="17"/>
      <c r="G384" s="17"/>
      <c r="H384" s="17"/>
      <c r="I384" s="17"/>
      <c r="J384" s="17"/>
      <c r="K384" s="17"/>
      <c r="L384" s="17"/>
    </row>
    <row r="385">
      <c r="A385" s="11" t="str">
        <f t="shared" si="1"/>
        <v/>
      </c>
      <c r="B385" s="16"/>
      <c r="C385" s="16"/>
      <c r="D385" s="16"/>
      <c r="E385" s="16"/>
      <c r="F385" s="17"/>
      <c r="G385" s="17"/>
      <c r="H385" s="17"/>
      <c r="I385" s="17"/>
      <c r="J385" s="17"/>
      <c r="K385" s="17"/>
      <c r="L385" s="17"/>
    </row>
    <row r="386">
      <c r="A386" s="11" t="str">
        <f t="shared" si="1"/>
        <v/>
      </c>
      <c r="B386" s="16"/>
      <c r="C386" s="16"/>
      <c r="D386" s="16"/>
      <c r="E386" s="16"/>
      <c r="F386" s="17"/>
      <c r="G386" s="17"/>
      <c r="H386" s="17"/>
      <c r="I386" s="17"/>
      <c r="J386" s="17"/>
      <c r="K386" s="17"/>
      <c r="L386" s="17"/>
    </row>
    <row r="387">
      <c r="A387" s="11" t="str">
        <f t="shared" si="1"/>
        <v/>
      </c>
      <c r="B387" s="16"/>
      <c r="C387" s="16"/>
      <c r="D387" s="16"/>
      <c r="E387" s="16"/>
      <c r="F387" s="17"/>
      <c r="G387" s="17"/>
      <c r="H387" s="17"/>
      <c r="I387" s="17"/>
      <c r="J387" s="17"/>
      <c r="K387" s="17"/>
      <c r="L387" s="17"/>
    </row>
    <row r="388">
      <c r="A388" s="11" t="str">
        <f t="shared" si="1"/>
        <v/>
      </c>
      <c r="B388" s="16"/>
      <c r="C388" s="16"/>
      <c r="D388" s="16"/>
      <c r="E388" s="16"/>
      <c r="F388" s="17"/>
      <c r="G388" s="17"/>
      <c r="H388" s="17"/>
      <c r="I388" s="17"/>
      <c r="J388" s="17"/>
      <c r="K388" s="17"/>
      <c r="L388" s="17"/>
    </row>
    <row r="389">
      <c r="A389" s="11" t="str">
        <f t="shared" si="1"/>
        <v/>
      </c>
      <c r="B389" s="16"/>
      <c r="C389" s="16"/>
      <c r="D389" s="16"/>
      <c r="E389" s="16"/>
      <c r="F389" s="17"/>
      <c r="G389" s="17"/>
      <c r="H389" s="17"/>
      <c r="I389" s="17"/>
      <c r="J389" s="17"/>
      <c r="K389" s="17"/>
      <c r="L389" s="17"/>
    </row>
    <row r="390">
      <c r="A390" s="11" t="str">
        <f t="shared" si="1"/>
        <v/>
      </c>
      <c r="B390" s="16"/>
      <c r="C390" s="16"/>
      <c r="D390" s="16"/>
      <c r="E390" s="16"/>
      <c r="F390" s="17"/>
      <c r="G390" s="17"/>
      <c r="H390" s="17"/>
      <c r="I390" s="17"/>
      <c r="J390" s="17"/>
      <c r="K390" s="17"/>
      <c r="L390" s="17"/>
    </row>
    <row r="391">
      <c r="A391" s="11" t="str">
        <f t="shared" si="1"/>
        <v/>
      </c>
      <c r="B391" s="16"/>
      <c r="C391" s="16"/>
      <c r="D391" s="16"/>
      <c r="E391" s="16"/>
      <c r="F391" s="17"/>
      <c r="G391" s="17"/>
      <c r="H391" s="17"/>
      <c r="I391" s="17"/>
      <c r="J391" s="17"/>
      <c r="K391" s="17"/>
      <c r="L391" s="17"/>
    </row>
    <row r="392">
      <c r="A392" s="11" t="str">
        <f t="shared" si="1"/>
        <v/>
      </c>
      <c r="B392" s="16"/>
      <c r="C392" s="16"/>
      <c r="D392" s="16"/>
      <c r="E392" s="16"/>
      <c r="F392" s="17"/>
      <c r="G392" s="17"/>
      <c r="H392" s="17"/>
      <c r="I392" s="17"/>
      <c r="J392" s="17"/>
      <c r="K392" s="17"/>
      <c r="L392" s="17"/>
    </row>
    <row r="393">
      <c r="A393" s="11" t="str">
        <f t="shared" si="1"/>
        <v/>
      </c>
      <c r="B393" s="16"/>
      <c r="C393" s="16"/>
      <c r="D393" s="16"/>
      <c r="E393" s="16"/>
      <c r="F393" s="17"/>
      <c r="G393" s="17"/>
      <c r="H393" s="17"/>
      <c r="I393" s="17"/>
      <c r="J393" s="17"/>
      <c r="K393" s="17"/>
      <c r="L393" s="17"/>
    </row>
    <row r="394">
      <c r="A394" s="11" t="str">
        <f t="shared" si="1"/>
        <v/>
      </c>
      <c r="B394" s="16"/>
      <c r="C394" s="16"/>
      <c r="D394" s="16"/>
      <c r="E394" s="16"/>
      <c r="F394" s="17"/>
      <c r="G394" s="17"/>
      <c r="H394" s="17"/>
      <c r="I394" s="17"/>
      <c r="J394" s="17"/>
      <c r="K394" s="17"/>
      <c r="L394" s="17"/>
    </row>
    <row r="395">
      <c r="A395" s="11" t="str">
        <f t="shared" si="1"/>
        <v/>
      </c>
      <c r="B395" s="16"/>
      <c r="C395" s="16"/>
      <c r="D395" s="16"/>
      <c r="E395" s="16"/>
      <c r="F395" s="17"/>
      <c r="G395" s="17"/>
      <c r="H395" s="17"/>
      <c r="I395" s="17"/>
      <c r="J395" s="17"/>
      <c r="K395" s="17"/>
      <c r="L395" s="17"/>
    </row>
    <row r="396">
      <c r="A396" s="11" t="str">
        <f t="shared" si="1"/>
        <v/>
      </c>
      <c r="B396" s="16"/>
      <c r="C396" s="16"/>
      <c r="D396" s="16"/>
      <c r="E396" s="16"/>
      <c r="F396" s="17"/>
      <c r="G396" s="17"/>
      <c r="H396" s="17"/>
      <c r="I396" s="17"/>
      <c r="J396" s="17"/>
      <c r="K396" s="17"/>
      <c r="L396" s="17"/>
    </row>
    <row r="397">
      <c r="A397" s="11" t="str">
        <f t="shared" si="1"/>
        <v/>
      </c>
      <c r="B397" s="16"/>
      <c r="C397" s="16"/>
      <c r="D397" s="16"/>
      <c r="E397" s="16"/>
      <c r="F397" s="17"/>
      <c r="G397" s="17"/>
      <c r="H397" s="17"/>
      <c r="I397" s="17"/>
      <c r="J397" s="17"/>
      <c r="K397" s="17"/>
      <c r="L397" s="17"/>
    </row>
    <row r="398">
      <c r="A398" s="11" t="str">
        <f t="shared" si="1"/>
        <v/>
      </c>
      <c r="B398" s="16"/>
      <c r="C398" s="16"/>
      <c r="D398" s="16"/>
      <c r="E398" s="16"/>
      <c r="F398" s="17"/>
      <c r="G398" s="17"/>
      <c r="H398" s="17"/>
      <c r="I398" s="17"/>
      <c r="J398" s="17"/>
      <c r="K398" s="17"/>
      <c r="L398" s="17"/>
    </row>
    <row r="399">
      <c r="A399" s="11" t="str">
        <f t="shared" si="1"/>
        <v/>
      </c>
      <c r="B399" s="16"/>
      <c r="C399" s="16"/>
      <c r="D399" s="16"/>
      <c r="E399" s="16"/>
      <c r="F399" s="17"/>
      <c r="G399" s="17"/>
      <c r="H399" s="17"/>
      <c r="I399" s="17"/>
      <c r="J399" s="17"/>
      <c r="K399" s="17"/>
      <c r="L399" s="17"/>
    </row>
    <row r="400">
      <c r="A400" s="11" t="str">
        <f t="shared" si="1"/>
        <v/>
      </c>
      <c r="B400" s="16"/>
      <c r="C400" s="16"/>
      <c r="D400" s="16"/>
      <c r="E400" s="16"/>
      <c r="F400" s="17"/>
      <c r="G400" s="17"/>
      <c r="H400" s="17"/>
      <c r="I400" s="17"/>
      <c r="J400" s="17"/>
      <c r="K400" s="17"/>
      <c r="L400" s="17"/>
    </row>
    <row r="401">
      <c r="A401" s="11" t="str">
        <f t="shared" si="1"/>
        <v/>
      </c>
      <c r="B401" s="16"/>
      <c r="C401" s="16"/>
      <c r="D401" s="16"/>
      <c r="E401" s="16"/>
      <c r="F401" s="17"/>
      <c r="G401" s="17"/>
      <c r="H401" s="17"/>
      <c r="I401" s="17"/>
      <c r="J401" s="17"/>
      <c r="K401" s="17"/>
      <c r="L401" s="17"/>
    </row>
    <row r="402">
      <c r="A402" s="11" t="str">
        <f t="shared" si="1"/>
        <v/>
      </c>
      <c r="B402" s="16"/>
      <c r="C402" s="16"/>
      <c r="D402" s="16"/>
      <c r="E402" s="16"/>
      <c r="F402" s="17"/>
      <c r="G402" s="17"/>
      <c r="H402" s="17"/>
      <c r="I402" s="17"/>
      <c r="J402" s="17"/>
      <c r="K402" s="17"/>
      <c r="L402" s="17"/>
    </row>
    <row r="403">
      <c r="A403" s="11" t="str">
        <f t="shared" si="1"/>
        <v/>
      </c>
      <c r="B403" s="16"/>
      <c r="C403" s="16"/>
      <c r="D403" s="16"/>
      <c r="E403" s="16"/>
      <c r="F403" s="17"/>
      <c r="G403" s="17"/>
      <c r="H403" s="17"/>
      <c r="I403" s="17"/>
      <c r="J403" s="17"/>
      <c r="K403" s="17"/>
      <c r="L403" s="17"/>
    </row>
    <row r="404">
      <c r="A404" s="11" t="str">
        <f t="shared" si="1"/>
        <v/>
      </c>
      <c r="B404" s="16"/>
      <c r="C404" s="16"/>
      <c r="D404" s="16"/>
      <c r="E404" s="16"/>
      <c r="F404" s="17"/>
      <c r="G404" s="17"/>
      <c r="H404" s="17"/>
      <c r="I404" s="17"/>
      <c r="J404" s="17"/>
      <c r="K404" s="17"/>
      <c r="L404" s="17"/>
    </row>
    <row r="405">
      <c r="A405" s="11" t="str">
        <f t="shared" si="1"/>
        <v/>
      </c>
      <c r="B405" s="16"/>
      <c r="C405" s="16"/>
      <c r="D405" s="16"/>
      <c r="E405" s="16"/>
      <c r="F405" s="17"/>
      <c r="G405" s="17"/>
      <c r="H405" s="17"/>
      <c r="I405" s="17"/>
      <c r="J405" s="17"/>
      <c r="K405" s="17"/>
      <c r="L405" s="17"/>
    </row>
    <row r="406">
      <c r="A406" s="11" t="str">
        <f t="shared" si="1"/>
        <v/>
      </c>
      <c r="B406" s="16"/>
      <c r="C406" s="16"/>
      <c r="D406" s="16"/>
      <c r="E406" s="16"/>
      <c r="F406" s="17"/>
      <c r="G406" s="17"/>
      <c r="H406" s="17"/>
      <c r="I406" s="17"/>
      <c r="J406" s="17"/>
      <c r="K406" s="17"/>
      <c r="L406" s="17"/>
    </row>
    <row r="407">
      <c r="A407" s="11" t="str">
        <f t="shared" si="1"/>
        <v/>
      </c>
      <c r="B407" s="16"/>
      <c r="C407" s="16"/>
      <c r="D407" s="16"/>
      <c r="E407" s="16"/>
      <c r="F407" s="17"/>
      <c r="G407" s="17"/>
      <c r="H407" s="17"/>
      <c r="I407" s="17"/>
      <c r="J407" s="17"/>
      <c r="K407" s="17"/>
      <c r="L407" s="17"/>
    </row>
    <row r="408">
      <c r="A408" s="11" t="str">
        <f t="shared" si="1"/>
        <v/>
      </c>
      <c r="B408" s="16"/>
      <c r="C408" s="16"/>
      <c r="D408" s="16"/>
      <c r="E408" s="16"/>
      <c r="F408" s="17"/>
      <c r="G408" s="17"/>
      <c r="H408" s="17"/>
      <c r="I408" s="17"/>
      <c r="J408" s="17"/>
      <c r="K408" s="17"/>
      <c r="L408" s="17"/>
    </row>
    <row r="409">
      <c r="A409" s="11" t="str">
        <f t="shared" si="1"/>
        <v/>
      </c>
      <c r="B409" s="16"/>
      <c r="C409" s="16"/>
      <c r="D409" s="16"/>
      <c r="E409" s="16"/>
      <c r="F409" s="17"/>
      <c r="G409" s="17"/>
      <c r="H409" s="17"/>
      <c r="I409" s="17"/>
      <c r="J409" s="17"/>
      <c r="K409" s="17"/>
      <c r="L409" s="17"/>
    </row>
    <row r="410">
      <c r="A410" s="11" t="str">
        <f t="shared" si="1"/>
        <v/>
      </c>
      <c r="B410" s="16"/>
      <c r="C410" s="16"/>
      <c r="D410" s="16"/>
      <c r="E410" s="16"/>
      <c r="F410" s="17"/>
      <c r="G410" s="17"/>
      <c r="H410" s="17"/>
      <c r="I410" s="17"/>
      <c r="J410" s="17"/>
      <c r="K410" s="17"/>
      <c r="L410" s="17"/>
    </row>
    <row r="411">
      <c r="A411" s="11" t="str">
        <f t="shared" si="1"/>
        <v/>
      </c>
      <c r="B411" s="16"/>
      <c r="C411" s="16"/>
      <c r="D411" s="16"/>
      <c r="E411" s="16"/>
      <c r="F411" s="17"/>
      <c r="G411" s="17"/>
      <c r="H411" s="17"/>
      <c r="I411" s="17"/>
      <c r="J411" s="17"/>
      <c r="K411" s="17"/>
      <c r="L411" s="17"/>
    </row>
    <row r="412">
      <c r="A412" s="11" t="str">
        <f t="shared" si="1"/>
        <v/>
      </c>
      <c r="B412" s="16"/>
      <c r="C412" s="16"/>
      <c r="D412" s="16"/>
      <c r="E412" s="16"/>
      <c r="F412" s="17"/>
      <c r="G412" s="17"/>
      <c r="H412" s="17"/>
      <c r="I412" s="17"/>
      <c r="J412" s="17"/>
      <c r="K412" s="17"/>
      <c r="L412" s="17"/>
    </row>
    <row r="413">
      <c r="A413" s="11" t="str">
        <f t="shared" si="1"/>
        <v/>
      </c>
      <c r="B413" s="16"/>
      <c r="C413" s="16"/>
      <c r="D413" s="16"/>
      <c r="E413" s="16"/>
      <c r="F413" s="17"/>
      <c r="G413" s="17"/>
      <c r="H413" s="17"/>
      <c r="I413" s="17"/>
      <c r="J413" s="17"/>
      <c r="K413" s="17"/>
      <c r="L413" s="17"/>
    </row>
    <row r="414">
      <c r="A414" s="11" t="str">
        <f t="shared" si="1"/>
        <v/>
      </c>
      <c r="B414" s="16"/>
      <c r="C414" s="16"/>
      <c r="D414" s="16"/>
      <c r="E414" s="16"/>
      <c r="F414" s="17"/>
      <c r="G414" s="17"/>
      <c r="H414" s="17"/>
      <c r="I414" s="17"/>
      <c r="J414" s="17"/>
      <c r="K414" s="17"/>
      <c r="L414" s="17"/>
    </row>
    <row r="415">
      <c r="A415" s="11" t="str">
        <f t="shared" si="1"/>
        <v/>
      </c>
      <c r="B415" s="16"/>
      <c r="C415" s="16"/>
      <c r="D415" s="16"/>
      <c r="E415" s="16"/>
      <c r="F415" s="17"/>
      <c r="G415" s="17"/>
      <c r="H415" s="17"/>
      <c r="I415" s="17"/>
      <c r="J415" s="17"/>
      <c r="K415" s="17"/>
      <c r="L415" s="17"/>
    </row>
    <row r="416">
      <c r="A416" s="11" t="str">
        <f t="shared" si="1"/>
        <v/>
      </c>
      <c r="B416" s="16"/>
      <c r="C416" s="16"/>
      <c r="D416" s="16"/>
      <c r="E416" s="16"/>
      <c r="F416" s="17"/>
      <c r="G416" s="17"/>
      <c r="H416" s="17"/>
      <c r="I416" s="17"/>
      <c r="J416" s="17"/>
      <c r="K416" s="17"/>
      <c r="L416" s="17"/>
    </row>
    <row r="417">
      <c r="A417" s="11" t="str">
        <f t="shared" si="1"/>
        <v/>
      </c>
      <c r="B417" s="16"/>
      <c r="C417" s="16"/>
      <c r="D417" s="16"/>
      <c r="E417" s="16"/>
      <c r="F417" s="17"/>
      <c r="G417" s="17"/>
      <c r="H417" s="17"/>
      <c r="I417" s="17"/>
      <c r="J417" s="17"/>
      <c r="K417" s="17"/>
      <c r="L417" s="17"/>
    </row>
    <row r="418">
      <c r="A418" s="11" t="str">
        <f t="shared" si="1"/>
        <v/>
      </c>
      <c r="B418" s="16"/>
      <c r="C418" s="16"/>
      <c r="D418" s="16"/>
      <c r="E418" s="16"/>
      <c r="F418" s="17"/>
      <c r="G418" s="17"/>
      <c r="H418" s="17"/>
      <c r="I418" s="17"/>
      <c r="J418" s="17"/>
      <c r="K418" s="17"/>
      <c r="L418" s="17"/>
    </row>
    <row r="419">
      <c r="A419" s="11" t="str">
        <f t="shared" si="1"/>
        <v/>
      </c>
      <c r="B419" s="16"/>
      <c r="C419" s="16"/>
      <c r="D419" s="16"/>
      <c r="E419" s="16"/>
      <c r="F419" s="17"/>
      <c r="G419" s="17"/>
      <c r="H419" s="17"/>
      <c r="I419" s="17"/>
      <c r="J419" s="17"/>
      <c r="K419" s="17"/>
      <c r="L419" s="17"/>
    </row>
    <row r="420">
      <c r="A420" s="11" t="str">
        <f t="shared" si="1"/>
        <v/>
      </c>
      <c r="B420" s="16"/>
      <c r="C420" s="16"/>
      <c r="D420" s="16"/>
      <c r="E420" s="16"/>
      <c r="F420" s="17"/>
      <c r="G420" s="17"/>
      <c r="H420" s="17"/>
      <c r="I420" s="17"/>
      <c r="J420" s="17"/>
      <c r="K420" s="17"/>
      <c r="L420" s="17"/>
    </row>
    <row r="421">
      <c r="A421" s="11" t="str">
        <f t="shared" si="1"/>
        <v/>
      </c>
      <c r="B421" s="16"/>
      <c r="C421" s="16"/>
      <c r="D421" s="16"/>
      <c r="E421" s="16"/>
      <c r="F421" s="17"/>
      <c r="G421" s="17"/>
      <c r="H421" s="17"/>
      <c r="I421" s="17"/>
      <c r="J421" s="17"/>
      <c r="K421" s="17"/>
      <c r="L421" s="17"/>
    </row>
    <row r="422">
      <c r="A422" s="11" t="str">
        <f t="shared" si="1"/>
        <v/>
      </c>
      <c r="B422" s="16"/>
      <c r="C422" s="16"/>
      <c r="D422" s="16"/>
      <c r="E422" s="16"/>
      <c r="F422" s="17"/>
      <c r="G422" s="17"/>
      <c r="H422" s="17"/>
      <c r="I422" s="17"/>
      <c r="J422" s="17"/>
      <c r="K422" s="17"/>
      <c r="L422" s="17"/>
    </row>
    <row r="423">
      <c r="A423" s="11" t="str">
        <f t="shared" si="1"/>
        <v/>
      </c>
      <c r="B423" s="16"/>
      <c r="C423" s="16"/>
      <c r="D423" s="16"/>
      <c r="E423" s="16"/>
      <c r="F423" s="17"/>
      <c r="G423" s="17"/>
      <c r="H423" s="17"/>
      <c r="I423" s="17"/>
      <c r="J423" s="17"/>
      <c r="K423" s="17"/>
      <c r="L423" s="17"/>
    </row>
    <row r="424">
      <c r="A424" s="11" t="str">
        <f t="shared" si="1"/>
        <v/>
      </c>
      <c r="B424" s="16"/>
      <c r="C424" s="16"/>
      <c r="D424" s="16"/>
      <c r="E424" s="16"/>
      <c r="F424" s="17"/>
      <c r="G424" s="17"/>
      <c r="H424" s="17"/>
      <c r="I424" s="17"/>
      <c r="J424" s="17"/>
      <c r="K424" s="17"/>
      <c r="L424" s="17"/>
    </row>
    <row r="425">
      <c r="A425" s="11" t="str">
        <f t="shared" si="1"/>
        <v/>
      </c>
      <c r="B425" s="16"/>
      <c r="C425" s="16"/>
      <c r="D425" s="16"/>
      <c r="E425" s="16"/>
      <c r="F425" s="17"/>
      <c r="G425" s="17"/>
      <c r="H425" s="17"/>
      <c r="I425" s="17"/>
      <c r="J425" s="17"/>
      <c r="K425" s="17"/>
      <c r="L425" s="17"/>
    </row>
    <row r="426">
      <c r="A426" s="11" t="str">
        <f t="shared" si="1"/>
        <v/>
      </c>
      <c r="B426" s="16"/>
      <c r="C426" s="16"/>
      <c r="D426" s="16"/>
      <c r="E426" s="16"/>
      <c r="F426" s="17"/>
      <c r="G426" s="17"/>
      <c r="H426" s="17"/>
      <c r="I426" s="17"/>
      <c r="J426" s="17"/>
      <c r="K426" s="17"/>
      <c r="L426" s="17"/>
    </row>
    <row r="427">
      <c r="A427" s="11" t="str">
        <f t="shared" si="1"/>
        <v/>
      </c>
      <c r="B427" s="16"/>
      <c r="C427" s="16"/>
      <c r="D427" s="16"/>
      <c r="E427" s="16"/>
      <c r="F427" s="17"/>
      <c r="G427" s="17"/>
      <c r="H427" s="17"/>
      <c r="I427" s="17"/>
      <c r="J427" s="17"/>
      <c r="K427" s="17"/>
      <c r="L427" s="17"/>
    </row>
    <row r="428">
      <c r="A428" s="11" t="str">
        <f t="shared" si="1"/>
        <v/>
      </c>
      <c r="B428" s="16"/>
      <c r="C428" s="16"/>
      <c r="D428" s="16"/>
      <c r="E428" s="16"/>
      <c r="F428" s="17"/>
      <c r="G428" s="17"/>
      <c r="H428" s="17"/>
      <c r="I428" s="17"/>
      <c r="J428" s="17"/>
      <c r="K428" s="17"/>
      <c r="L428" s="17"/>
    </row>
    <row r="429">
      <c r="A429" s="11" t="str">
        <f t="shared" si="1"/>
        <v/>
      </c>
      <c r="B429" s="16"/>
      <c r="C429" s="16"/>
      <c r="D429" s="16"/>
      <c r="E429" s="16"/>
      <c r="F429" s="17"/>
      <c r="G429" s="17"/>
      <c r="H429" s="17"/>
      <c r="I429" s="17"/>
      <c r="J429" s="17"/>
      <c r="K429" s="17"/>
      <c r="L429" s="17"/>
    </row>
    <row r="430">
      <c r="A430" s="11" t="str">
        <f t="shared" si="1"/>
        <v/>
      </c>
      <c r="B430" s="16"/>
      <c r="C430" s="16"/>
      <c r="D430" s="16"/>
      <c r="E430" s="16"/>
      <c r="F430" s="17"/>
      <c r="G430" s="17"/>
      <c r="H430" s="17"/>
      <c r="I430" s="17"/>
      <c r="J430" s="17"/>
      <c r="K430" s="17"/>
      <c r="L430" s="17"/>
    </row>
    <row r="431">
      <c r="A431" s="11" t="str">
        <f t="shared" si="1"/>
        <v/>
      </c>
      <c r="B431" s="16"/>
      <c r="C431" s="16"/>
      <c r="D431" s="16"/>
      <c r="E431" s="16"/>
      <c r="F431" s="17"/>
      <c r="G431" s="17"/>
      <c r="H431" s="17"/>
      <c r="I431" s="17"/>
      <c r="J431" s="17"/>
      <c r="K431" s="17"/>
      <c r="L431" s="17"/>
    </row>
    <row r="432">
      <c r="A432" s="11" t="str">
        <f t="shared" si="1"/>
        <v/>
      </c>
      <c r="B432" s="16"/>
      <c r="C432" s="16"/>
      <c r="D432" s="16"/>
      <c r="E432" s="16"/>
      <c r="F432" s="17"/>
      <c r="G432" s="17"/>
      <c r="H432" s="17"/>
      <c r="I432" s="17"/>
      <c r="J432" s="17"/>
      <c r="K432" s="17"/>
      <c r="L432" s="17"/>
    </row>
    <row r="433">
      <c r="A433" s="11" t="str">
        <f t="shared" si="1"/>
        <v/>
      </c>
      <c r="B433" s="16"/>
      <c r="C433" s="16"/>
      <c r="D433" s="16"/>
      <c r="E433" s="16"/>
      <c r="F433" s="17"/>
      <c r="G433" s="17"/>
      <c r="H433" s="17"/>
      <c r="I433" s="17"/>
      <c r="J433" s="17"/>
      <c r="K433" s="17"/>
      <c r="L433" s="17"/>
    </row>
    <row r="434">
      <c r="A434" s="11" t="str">
        <f t="shared" si="1"/>
        <v/>
      </c>
      <c r="B434" s="16"/>
      <c r="C434" s="16"/>
      <c r="D434" s="16"/>
      <c r="E434" s="16"/>
      <c r="F434" s="17"/>
      <c r="G434" s="17"/>
      <c r="H434" s="17"/>
      <c r="I434" s="17"/>
      <c r="J434" s="17"/>
      <c r="K434" s="17"/>
      <c r="L434" s="17"/>
    </row>
    <row r="435">
      <c r="A435" s="11" t="str">
        <f t="shared" si="1"/>
        <v/>
      </c>
      <c r="B435" s="16"/>
      <c r="C435" s="16"/>
      <c r="D435" s="16"/>
      <c r="E435" s="16"/>
      <c r="F435" s="17"/>
      <c r="G435" s="17"/>
      <c r="H435" s="17"/>
      <c r="I435" s="17"/>
      <c r="J435" s="17"/>
      <c r="K435" s="17"/>
      <c r="L435" s="17"/>
    </row>
    <row r="436">
      <c r="A436" s="11" t="str">
        <f t="shared" si="1"/>
        <v/>
      </c>
      <c r="B436" s="16"/>
      <c r="C436" s="16"/>
      <c r="D436" s="16"/>
      <c r="E436" s="16"/>
      <c r="F436" s="17"/>
      <c r="G436" s="17"/>
      <c r="H436" s="17"/>
      <c r="I436" s="17"/>
      <c r="J436" s="17"/>
      <c r="K436" s="17"/>
      <c r="L436" s="17"/>
    </row>
    <row r="437">
      <c r="A437" s="11" t="str">
        <f t="shared" si="1"/>
        <v/>
      </c>
      <c r="B437" s="16"/>
      <c r="C437" s="16"/>
      <c r="D437" s="16"/>
      <c r="E437" s="16"/>
      <c r="F437" s="17"/>
      <c r="G437" s="17"/>
      <c r="H437" s="17"/>
      <c r="I437" s="17"/>
      <c r="J437" s="17"/>
      <c r="K437" s="17"/>
      <c r="L437" s="17"/>
    </row>
    <row r="438">
      <c r="A438" s="11" t="str">
        <f t="shared" si="1"/>
        <v/>
      </c>
      <c r="B438" s="16"/>
      <c r="C438" s="16"/>
      <c r="D438" s="16"/>
      <c r="E438" s="16"/>
      <c r="F438" s="17"/>
      <c r="G438" s="17"/>
      <c r="H438" s="17"/>
      <c r="I438" s="17"/>
      <c r="J438" s="17"/>
      <c r="K438" s="17"/>
      <c r="L438" s="17"/>
    </row>
    <row r="439">
      <c r="A439" s="11" t="str">
        <f t="shared" si="1"/>
        <v/>
      </c>
      <c r="B439" s="16"/>
      <c r="C439" s="16"/>
      <c r="D439" s="16"/>
      <c r="E439" s="16"/>
      <c r="F439" s="17"/>
      <c r="G439" s="17"/>
      <c r="H439" s="17"/>
      <c r="I439" s="17"/>
      <c r="J439" s="17"/>
      <c r="K439" s="17"/>
      <c r="L439" s="17"/>
    </row>
    <row r="440">
      <c r="A440" s="11" t="str">
        <f t="shared" si="1"/>
        <v/>
      </c>
      <c r="B440" s="16"/>
      <c r="C440" s="16"/>
      <c r="D440" s="16"/>
      <c r="E440" s="16"/>
      <c r="F440" s="17"/>
      <c r="G440" s="17"/>
      <c r="H440" s="17"/>
      <c r="I440" s="17"/>
      <c r="J440" s="17"/>
      <c r="K440" s="17"/>
      <c r="L440" s="17"/>
    </row>
    <row r="441">
      <c r="A441" s="11" t="str">
        <f t="shared" si="1"/>
        <v/>
      </c>
      <c r="B441" s="16"/>
      <c r="C441" s="16"/>
      <c r="D441" s="16"/>
      <c r="E441" s="16"/>
      <c r="F441" s="17"/>
      <c r="G441" s="17"/>
      <c r="H441" s="17"/>
      <c r="I441" s="17"/>
      <c r="J441" s="17"/>
      <c r="K441" s="17"/>
      <c r="L441" s="17"/>
    </row>
    <row r="442">
      <c r="A442" s="11" t="str">
        <f t="shared" si="1"/>
        <v/>
      </c>
      <c r="B442" s="16"/>
      <c r="C442" s="16"/>
      <c r="D442" s="16"/>
      <c r="E442" s="16"/>
      <c r="F442" s="17"/>
      <c r="G442" s="17"/>
      <c r="H442" s="17"/>
      <c r="I442" s="17"/>
      <c r="J442" s="17"/>
      <c r="K442" s="17"/>
      <c r="L442" s="17"/>
    </row>
    <row r="443">
      <c r="A443" s="11" t="str">
        <f t="shared" si="1"/>
        <v/>
      </c>
      <c r="B443" s="16"/>
      <c r="C443" s="16"/>
      <c r="D443" s="16"/>
      <c r="E443" s="16"/>
      <c r="F443" s="17"/>
      <c r="G443" s="17"/>
      <c r="H443" s="17"/>
      <c r="I443" s="17"/>
      <c r="J443" s="17"/>
      <c r="K443" s="17"/>
      <c r="L443" s="17"/>
    </row>
    <row r="444">
      <c r="A444" s="11" t="str">
        <f t="shared" si="1"/>
        <v/>
      </c>
      <c r="B444" s="16"/>
      <c r="C444" s="16"/>
      <c r="D444" s="16"/>
      <c r="E444" s="16"/>
      <c r="F444" s="17"/>
      <c r="G444" s="17"/>
      <c r="H444" s="17"/>
      <c r="I444" s="17"/>
      <c r="J444" s="17"/>
      <c r="K444" s="17"/>
      <c r="L444" s="17"/>
    </row>
    <row r="445">
      <c r="A445" s="11" t="str">
        <f t="shared" si="1"/>
        <v/>
      </c>
      <c r="B445" s="16"/>
      <c r="C445" s="16"/>
      <c r="D445" s="16"/>
      <c r="E445" s="16"/>
      <c r="F445" s="17"/>
      <c r="G445" s="17"/>
      <c r="H445" s="17"/>
      <c r="I445" s="17"/>
      <c r="J445" s="17"/>
      <c r="K445" s="17"/>
      <c r="L445" s="17"/>
    </row>
    <row r="446">
      <c r="A446" s="11" t="str">
        <f t="shared" si="1"/>
        <v/>
      </c>
      <c r="B446" s="16"/>
      <c r="C446" s="16"/>
      <c r="D446" s="16"/>
      <c r="E446" s="16"/>
      <c r="F446" s="17"/>
      <c r="G446" s="17"/>
      <c r="H446" s="17"/>
      <c r="I446" s="17"/>
      <c r="J446" s="17"/>
      <c r="K446" s="17"/>
      <c r="L446" s="17"/>
    </row>
    <row r="447">
      <c r="A447" s="11" t="str">
        <f t="shared" si="1"/>
        <v/>
      </c>
      <c r="B447" s="16"/>
      <c r="C447" s="16"/>
      <c r="D447" s="16"/>
      <c r="E447" s="16"/>
      <c r="F447" s="17"/>
      <c r="G447" s="17"/>
      <c r="H447" s="17"/>
      <c r="I447" s="17"/>
      <c r="J447" s="17"/>
      <c r="K447" s="17"/>
      <c r="L447" s="17"/>
    </row>
    <row r="448">
      <c r="A448" s="11" t="str">
        <f t="shared" si="1"/>
        <v/>
      </c>
      <c r="B448" s="16"/>
      <c r="C448" s="16"/>
      <c r="D448" s="16"/>
      <c r="E448" s="16"/>
      <c r="F448" s="17"/>
      <c r="G448" s="17"/>
      <c r="H448" s="17"/>
      <c r="I448" s="17"/>
      <c r="J448" s="17"/>
      <c r="K448" s="17"/>
      <c r="L448" s="17"/>
    </row>
    <row r="449">
      <c r="A449" s="11" t="str">
        <f t="shared" si="1"/>
        <v/>
      </c>
      <c r="B449" s="16"/>
      <c r="C449" s="16"/>
      <c r="D449" s="16"/>
      <c r="E449" s="16"/>
      <c r="F449" s="17"/>
      <c r="G449" s="17"/>
      <c r="H449" s="17"/>
      <c r="I449" s="17"/>
      <c r="J449" s="17"/>
      <c r="K449" s="17"/>
      <c r="L449" s="17"/>
    </row>
    <row r="450">
      <c r="A450" s="11" t="str">
        <f t="shared" si="1"/>
        <v/>
      </c>
      <c r="B450" s="16"/>
      <c r="C450" s="16"/>
      <c r="D450" s="16"/>
      <c r="E450" s="16"/>
      <c r="F450" s="17"/>
      <c r="G450" s="17"/>
      <c r="H450" s="17"/>
      <c r="I450" s="17"/>
      <c r="J450" s="17"/>
      <c r="K450" s="17"/>
      <c r="L450" s="17"/>
    </row>
    <row r="451">
      <c r="A451" s="11" t="str">
        <f t="shared" si="1"/>
        <v/>
      </c>
      <c r="B451" s="16"/>
      <c r="C451" s="16"/>
      <c r="D451" s="16"/>
      <c r="E451" s="16"/>
      <c r="F451" s="17"/>
      <c r="G451" s="17"/>
      <c r="H451" s="17"/>
      <c r="I451" s="17"/>
      <c r="J451" s="17"/>
      <c r="K451" s="17"/>
      <c r="L451" s="17"/>
    </row>
    <row r="452">
      <c r="A452" s="11" t="str">
        <f t="shared" si="1"/>
        <v/>
      </c>
      <c r="B452" s="16"/>
      <c r="C452" s="16"/>
      <c r="D452" s="16"/>
      <c r="E452" s="16"/>
      <c r="F452" s="17"/>
      <c r="G452" s="17"/>
      <c r="H452" s="17"/>
      <c r="I452" s="17"/>
      <c r="J452" s="17"/>
      <c r="K452" s="17"/>
      <c r="L452" s="17"/>
    </row>
    <row r="453">
      <c r="A453" s="11" t="str">
        <f t="shared" si="1"/>
        <v/>
      </c>
      <c r="B453" s="16"/>
      <c r="C453" s="16"/>
      <c r="D453" s="16"/>
      <c r="E453" s="16"/>
      <c r="F453" s="17"/>
      <c r="G453" s="17"/>
      <c r="H453" s="17"/>
      <c r="I453" s="17"/>
      <c r="J453" s="17"/>
      <c r="K453" s="17"/>
      <c r="L453" s="17"/>
    </row>
    <row r="454">
      <c r="A454" s="11" t="str">
        <f t="shared" si="1"/>
        <v/>
      </c>
      <c r="B454" s="16"/>
      <c r="C454" s="16"/>
      <c r="D454" s="16"/>
      <c r="E454" s="16"/>
      <c r="F454" s="17"/>
      <c r="G454" s="17"/>
      <c r="H454" s="17"/>
      <c r="I454" s="17"/>
      <c r="J454" s="17"/>
      <c r="K454" s="17"/>
      <c r="L454" s="17"/>
    </row>
    <row r="455">
      <c r="A455" s="11" t="str">
        <f t="shared" si="1"/>
        <v/>
      </c>
      <c r="B455" s="16"/>
      <c r="C455" s="16"/>
      <c r="D455" s="16"/>
      <c r="E455" s="16"/>
      <c r="F455" s="17"/>
      <c r="G455" s="17"/>
      <c r="H455" s="17"/>
      <c r="I455" s="17"/>
      <c r="J455" s="17"/>
      <c r="K455" s="17"/>
      <c r="L455" s="17"/>
    </row>
    <row r="456">
      <c r="A456" s="11" t="str">
        <f t="shared" si="1"/>
        <v/>
      </c>
      <c r="B456" s="16"/>
      <c r="C456" s="16"/>
      <c r="D456" s="16"/>
      <c r="E456" s="16"/>
      <c r="F456" s="17"/>
      <c r="G456" s="17"/>
      <c r="H456" s="17"/>
      <c r="I456" s="17"/>
      <c r="J456" s="17"/>
      <c r="K456" s="17"/>
      <c r="L456" s="17"/>
    </row>
    <row r="457">
      <c r="A457" s="11" t="str">
        <f t="shared" si="1"/>
        <v/>
      </c>
      <c r="B457" s="16"/>
      <c r="C457" s="16"/>
      <c r="D457" s="16"/>
      <c r="E457" s="16"/>
      <c r="F457" s="17"/>
      <c r="G457" s="17"/>
      <c r="H457" s="17"/>
      <c r="I457" s="17"/>
      <c r="J457" s="17"/>
      <c r="K457" s="17"/>
      <c r="L457" s="17"/>
    </row>
    <row r="458">
      <c r="A458" s="11" t="str">
        <f t="shared" si="1"/>
        <v/>
      </c>
      <c r="B458" s="16"/>
      <c r="C458" s="16"/>
      <c r="D458" s="16"/>
      <c r="E458" s="16"/>
      <c r="F458" s="17"/>
      <c r="G458" s="17"/>
      <c r="H458" s="17"/>
      <c r="I458" s="17"/>
      <c r="J458" s="17"/>
      <c r="K458" s="17"/>
      <c r="L458" s="17"/>
    </row>
    <row r="459">
      <c r="A459" s="11" t="str">
        <f t="shared" si="1"/>
        <v/>
      </c>
      <c r="B459" s="16"/>
      <c r="C459" s="16"/>
      <c r="D459" s="16"/>
      <c r="E459" s="16"/>
      <c r="F459" s="17"/>
      <c r="G459" s="17"/>
      <c r="H459" s="17"/>
      <c r="I459" s="17"/>
      <c r="J459" s="17"/>
      <c r="K459" s="17"/>
      <c r="L459" s="17"/>
    </row>
    <row r="460">
      <c r="A460" s="11" t="str">
        <f t="shared" si="1"/>
        <v/>
      </c>
      <c r="B460" s="16"/>
      <c r="C460" s="16"/>
      <c r="D460" s="16"/>
      <c r="E460" s="16"/>
      <c r="F460" s="17"/>
      <c r="G460" s="17"/>
      <c r="H460" s="17"/>
      <c r="I460" s="17"/>
      <c r="J460" s="17"/>
      <c r="K460" s="17"/>
      <c r="L460" s="17"/>
    </row>
    <row r="461">
      <c r="A461" s="11" t="str">
        <f t="shared" si="1"/>
        <v/>
      </c>
      <c r="B461" s="16"/>
      <c r="C461" s="16"/>
      <c r="D461" s="16"/>
      <c r="E461" s="16"/>
      <c r="F461" s="17"/>
      <c r="G461" s="17"/>
      <c r="H461" s="17"/>
      <c r="I461" s="17"/>
      <c r="J461" s="17"/>
      <c r="K461" s="17"/>
      <c r="L461" s="17"/>
    </row>
    <row r="462">
      <c r="A462" s="11" t="str">
        <f t="shared" si="1"/>
        <v/>
      </c>
      <c r="B462" s="16"/>
      <c r="C462" s="16"/>
      <c r="D462" s="16"/>
      <c r="E462" s="16"/>
      <c r="F462" s="17"/>
      <c r="G462" s="17"/>
      <c r="H462" s="17"/>
      <c r="I462" s="17"/>
      <c r="J462" s="17"/>
      <c r="K462" s="17"/>
      <c r="L462" s="17"/>
    </row>
    <row r="463">
      <c r="A463" s="11" t="str">
        <f t="shared" si="1"/>
        <v/>
      </c>
      <c r="B463" s="16"/>
      <c r="C463" s="16"/>
      <c r="D463" s="16"/>
      <c r="E463" s="16"/>
      <c r="F463" s="17"/>
      <c r="G463" s="17"/>
      <c r="H463" s="17"/>
      <c r="I463" s="17"/>
      <c r="J463" s="17"/>
      <c r="K463" s="17"/>
      <c r="L463" s="17"/>
    </row>
    <row r="464">
      <c r="A464" s="11" t="str">
        <f t="shared" si="1"/>
        <v/>
      </c>
      <c r="B464" s="16"/>
      <c r="C464" s="16"/>
      <c r="D464" s="16"/>
      <c r="E464" s="16"/>
      <c r="F464" s="17"/>
      <c r="G464" s="17"/>
      <c r="H464" s="17"/>
      <c r="I464" s="17"/>
      <c r="J464" s="17"/>
      <c r="K464" s="17"/>
      <c r="L464" s="17"/>
    </row>
    <row r="465">
      <c r="A465" s="11" t="str">
        <f t="shared" si="1"/>
        <v/>
      </c>
      <c r="B465" s="16"/>
      <c r="C465" s="16"/>
      <c r="D465" s="16"/>
      <c r="E465" s="16"/>
      <c r="F465" s="17"/>
      <c r="G465" s="17"/>
      <c r="H465" s="17"/>
      <c r="I465" s="17"/>
      <c r="J465" s="17"/>
      <c r="K465" s="17"/>
      <c r="L465" s="17"/>
    </row>
    <row r="466">
      <c r="A466" s="11" t="str">
        <f t="shared" si="1"/>
        <v/>
      </c>
      <c r="B466" s="16"/>
      <c r="C466" s="16"/>
      <c r="D466" s="16"/>
      <c r="E466" s="16"/>
      <c r="F466" s="17"/>
      <c r="G466" s="17"/>
      <c r="H466" s="17"/>
      <c r="I466" s="17"/>
      <c r="J466" s="17"/>
      <c r="K466" s="17"/>
      <c r="L466" s="17"/>
    </row>
    <row r="467">
      <c r="A467" s="11" t="str">
        <f t="shared" si="1"/>
        <v/>
      </c>
      <c r="B467" s="16"/>
      <c r="C467" s="16"/>
      <c r="D467" s="16"/>
      <c r="E467" s="16"/>
      <c r="F467" s="17"/>
      <c r="G467" s="17"/>
      <c r="H467" s="17"/>
      <c r="I467" s="17"/>
      <c r="J467" s="17"/>
      <c r="K467" s="17"/>
      <c r="L467" s="17"/>
    </row>
    <row r="468">
      <c r="A468" s="11" t="str">
        <f t="shared" si="1"/>
        <v/>
      </c>
      <c r="B468" s="16"/>
      <c r="C468" s="16"/>
      <c r="D468" s="16"/>
      <c r="E468" s="16"/>
      <c r="F468" s="17"/>
      <c r="G468" s="17"/>
      <c r="H468" s="17"/>
      <c r="I468" s="17"/>
      <c r="J468" s="17"/>
      <c r="K468" s="17"/>
      <c r="L468" s="17"/>
    </row>
    <row r="469">
      <c r="A469" s="11" t="str">
        <f t="shared" si="1"/>
        <v/>
      </c>
      <c r="B469" s="16"/>
      <c r="C469" s="16"/>
      <c r="D469" s="16"/>
      <c r="E469" s="16"/>
      <c r="F469" s="17"/>
      <c r="G469" s="17"/>
      <c r="H469" s="17"/>
      <c r="I469" s="17"/>
      <c r="J469" s="17"/>
      <c r="K469" s="17"/>
      <c r="L469" s="17"/>
    </row>
    <row r="470">
      <c r="A470" s="11" t="str">
        <f t="shared" si="1"/>
        <v/>
      </c>
      <c r="B470" s="16"/>
      <c r="C470" s="16"/>
      <c r="D470" s="16"/>
      <c r="E470" s="16"/>
      <c r="F470" s="17"/>
      <c r="G470" s="17"/>
      <c r="H470" s="17"/>
      <c r="I470" s="17"/>
      <c r="J470" s="17"/>
      <c r="K470" s="17"/>
      <c r="L470" s="17"/>
    </row>
    <row r="471">
      <c r="A471" s="11" t="str">
        <f t="shared" si="1"/>
        <v/>
      </c>
      <c r="B471" s="16"/>
      <c r="C471" s="16"/>
      <c r="D471" s="16"/>
      <c r="E471" s="16"/>
      <c r="F471" s="17"/>
      <c r="G471" s="17"/>
      <c r="H471" s="17"/>
      <c r="I471" s="17"/>
      <c r="J471" s="17"/>
      <c r="K471" s="17"/>
      <c r="L471" s="17"/>
    </row>
    <row r="472">
      <c r="A472" s="11" t="str">
        <f t="shared" si="1"/>
        <v/>
      </c>
      <c r="B472" s="16"/>
      <c r="C472" s="16"/>
      <c r="D472" s="16"/>
      <c r="E472" s="16"/>
      <c r="F472" s="17"/>
      <c r="G472" s="17"/>
      <c r="H472" s="17"/>
      <c r="I472" s="17"/>
      <c r="J472" s="17"/>
      <c r="K472" s="17"/>
      <c r="L472" s="17"/>
    </row>
    <row r="473">
      <c r="A473" s="11" t="str">
        <f t="shared" si="1"/>
        <v/>
      </c>
      <c r="B473" s="16"/>
      <c r="C473" s="16"/>
      <c r="D473" s="16"/>
      <c r="E473" s="16"/>
      <c r="F473" s="17"/>
      <c r="G473" s="17"/>
      <c r="H473" s="17"/>
      <c r="I473" s="17"/>
      <c r="J473" s="17"/>
      <c r="K473" s="17"/>
      <c r="L473" s="17"/>
    </row>
    <row r="474">
      <c r="A474" s="11" t="str">
        <f t="shared" si="1"/>
        <v/>
      </c>
      <c r="B474" s="16"/>
      <c r="C474" s="16"/>
      <c r="D474" s="16"/>
      <c r="E474" s="16"/>
      <c r="F474" s="17"/>
      <c r="G474" s="17"/>
      <c r="H474" s="17"/>
      <c r="I474" s="17"/>
      <c r="J474" s="17"/>
      <c r="K474" s="17"/>
      <c r="L474" s="17"/>
    </row>
    <row r="475">
      <c r="A475" s="11" t="str">
        <f t="shared" si="1"/>
        <v/>
      </c>
      <c r="B475" s="16"/>
      <c r="C475" s="16"/>
      <c r="D475" s="16"/>
      <c r="E475" s="16"/>
      <c r="F475" s="17"/>
      <c r="G475" s="17"/>
      <c r="H475" s="17"/>
      <c r="I475" s="17"/>
      <c r="J475" s="17"/>
      <c r="K475" s="17"/>
      <c r="L475" s="17"/>
    </row>
    <row r="476">
      <c r="A476" s="11" t="str">
        <f t="shared" si="1"/>
        <v/>
      </c>
      <c r="B476" s="16"/>
      <c r="C476" s="16"/>
      <c r="D476" s="16"/>
      <c r="E476" s="16"/>
      <c r="F476" s="17"/>
      <c r="G476" s="17"/>
      <c r="H476" s="17"/>
      <c r="I476" s="17"/>
      <c r="J476" s="17"/>
      <c r="K476" s="17"/>
      <c r="L476" s="17"/>
    </row>
    <row r="477">
      <c r="A477" s="11" t="str">
        <f t="shared" si="1"/>
        <v/>
      </c>
      <c r="B477" s="16"/>
      <c r="C477" s="16"/>
      <c r="D477" s="16"/>
      <c r="E477" s="16"/>
      <c r="F477" s="17"/>
      <c r="G477" s="17"/>
      <c r="H477" s="17"/>
      <c r="I477" s="17"/>
      <c r="J477" s="17"/>
      <c r="K477" s="17"/>
      <c r="L477" s="17"/>
    </row>
    <row r="478">
      <c r="A478" s="11" t="str">
        <f t="shared" si="1"/>
        <v/>
      </c>
      <c r="B478" s="16"/>
      <c r="C478" s="16"/>
      <c r="D478" s="16"/>
      <c r="E478" s="16"/>
      <c r="F478" s="17"/>
      <c r="G478" s="17"/>
      <c r="H478" s="17"/>
      <c r="I478" s="17"/>
      <c r="J478" s="17"/>
      <c r="K478" s="17"/>
      <c r="L478" s="17"/>
    </row>
    <row r="479">
      <c r="A479" s="11" t="str">
        <f t="shared" si="1"/>
        <v/>
      </c>
      <c r="B479" s="16"/>
      <c r="C479" s="16"/>
      <c r="D479" s="16"/>
      <c r="E479" s="16"/>
      <c r="F479" s="17"/>
      <c r="G479" s="17"/>
      <c r="H479" s="17"/>
      <c r="I479" s="17"/>
      <c r="J479" s="17"/>
      <c r="K479" s="17"/>
      <c r="L479" s="17"/>
    </row>
    <row r="480">
      <c r="A480" s="11" t="str">
        <f t="shared" si="1"/>
        <v/>
      </c>
      <c r="B480" s="16"/>
      <c r="C480" s="16"/>
      <c r="D480" s="16"/>
      <c r="E480" s="16"/>
      <c r="F480" s="17"/>
      <c r="G480" s="17"/>
      <c r="H480" s="17"/>
      <c r="I480" s="17"/>
      <c r="J480" s="17"/>
      <c r="K480" s="17"/>
      <c r="L480" s="17"/>
    </row>
    <row r="481">
      <c r="A481" s="11" t="str">
        <f t="shared" si="1"/>
        <v/>
      </c>
      <c r="B481" s="16"/>
      <c r="C481" s="16"/>
      <c r="D481" s="16"/>
      <c r="E481" s="16"/>
      <c r="F481" s="17"/>
      <c r="G481" s="17"/>
      <c r="H481" s="17"/>
      <c r="I481" s="17"/>
      <c r="J481" s="17"/>
      <c r="K481" s="17"/>
      <c r="L481" s="17"/>
    </row>
    <row r="482">
      <c r="A482" s="11" t="str">
        <f t="shared" si="1"/>
        <v/>
      </c>
      <c r="B482" s="16"/>
      <c r="C482" s="16"/>
      <c r="D482" s="16"/>
      <c r="E482" s="16"/>
      <c r="F482" s="17"/>
      <c r="G482" s="17"/>
      <c r="H482" s="17"/>
      <c r="I482" s="17"/>
      <c r="J482" s="17"/>
      <c r="K482" s="17"/>
      <c r="L482" s="17"/>
    </row>
    <row r="483">
      <c r="A483" s="11" t="str">
        <f t="shared" si="1"/>
        <v/>
      </c>
      <c r="B483" s="16"/>
      <c r="C483" s="16"/>
      <c r="D483" s="16"/>
      <c r="E483" s="16"/>
      <c r="F483" s="17"/>
      <c r="G483" s="17"/>
      <c r="H483" s="17"/>
      <c r="I483" s="17"/>
      <c r="J483" s="17"/>
      <c r="K483" s="17"/>
      <c r="L483" s="17"/>
    </row>
    <row r="484">
      <c r="A484" s="11" t="str">
        <f t="shared" si="1"/>
        <v/>
      </c>
      <c r="B484" s="16"/>
      <c r="C484" s="16"/>
      <c r="D484" s="16"/>
      <c r="E484" s="16"/>
      <c r="F484" s="17"/>
      <c r="G484" s="17"/>
      <c r="H484" s="17"/>
      <c r="I484" s="17"/>
      <c r="J484" s="17"/>
      <c r="K484" s="17"/>
      <c r="L484" s="17"/>
    </row>
    <row r="485">
      <c r="A485" s="11" t="str">
        <f t="shared" si="1"/>
        <v/>
      </c>
      <c r="B485" s="16"/>
      <c r="C485" s="16"/>
      <c r="D485" s="16"/>
      <c r="E485" s="16"/>
      <c r="F485" s="17"/>
      <c r="G485" s="17"/>
      <c r="H485" s="17"/>
      <c r="I485" s="17"/>
      <c r="J485" s="17"/>
      <c r="K485" s="17"/>
      <c r="L485" s="17"/>
    </row>
    <row r="486">
      <c r="A486" s="11" t="str">
        <f t="shared" si="1"/>
        <v/>
      </c>
      <c r="B486" s="16"/>
      <c r="C486" s="16"/>
      <c r="D486" s="16"/>
      <c r="E486" s="16"/>
      <c r="F486" s="17"/>
      <c r="G486" s="17"/>
      <c r="H486" s="17"/>
      <c r="I486" s="17"/>
      <c r="J486" s="17"/>
      <c r="K486" s="17"/>
      <c r="L486" s="17"/>
    </row>
    <row r="487">
      <c r="A487" s="11" t="str">
        <f t="shared" si="1"/>
        <v/>
      </c>
      <c r="B487" s="16"/>
      <c r="C487" s="16"/>
      <c r="D487" s="16"/>
      <c r="E487" s="16"/>
      <c r="F487" s="17"/>
      <c r="G487" s="17"/>
      <c r="H487" s="17"/>
      <c r="I487" s="17"/>
      <c r="J487" s="17"/>
      <c r="K487" s="17"/>
      <c r="L487" s="17"/>
    </row>
    <row r="488">
      <c r="A488" s="11" t="str">
        <f t="shared" si="1"/>
        <v/>
      </c>
      <c r="B488" s="16"/>
      <c r="C488" s="16"/>
      <c r="D488" s="16"/>
      <c r="E488" s="16"/>
      <c r="F488" s="17"/>
      <c r="G488" s="17"/>
      <c r="H488" s="17"/>
      <c r="I488" s="17"/>
      <c r="J488" s="17"/>
      <c r="K488" s="17"/>
      <c r="L488" s="17"/>
    </row>
    <row r="489">
      <c r="A489" s="11" t="str">
        <f t="shared" si="1"/>
        <v/>
      </c>
      <c r="B489" s="16"/>
      <c r="C489" s="16"/>
      <c r="D489" s="16"/>
      <c r="E489" s="16"/>
      <c r="F489" s="17"/>
      <c r="G489" s="17"/>
      <c r="H489" s="17"/>
      <c r="I489" s="17"/>
      <c r="J489" s="17"/>
      <c r="K489" s="17"/>
      <c r="L489" s="17"/>
    </row>
    <row r="490">
      <c r="A490" s="11" t="str">
        <f t="shared" si="1"/>
        <v/>
      </c>
      <c r="B490" s="16"/>
      <c r="C490" s="16"/>
      <c r="D490" s="16"/>
      <c r="E490" s="16"/>
      <c r="F490" s="17"/>
      <c r="G490" s="17"/>
      <c r="H490" s="17"/>
      <c r="I490" s="17"/>
      <c r="J490" s="17"/>
      <c r="K490" s="17"/>
      <c r="L490" s="17"/>
    </row>
    <row r="491">
      <c r="A491" s="11" t="str">
        <f t="shared" si="1"/>
        <v/>
      </c>
      <c r="B491" s="16"/>
      <c r="C491" s="16"/>
      <c r="D491" s="16"/>
      <c r="E491" s="16"/>
      <c r="F491" s="17"/>
      <c r="G491" s="17"/>
      <c r="H491" s="17"/>
      <c r="I491" s="17"/>
      <c r="J491" s="17"/>
      <c r="K491" s="17"/>
      <c r="L491" s="17"/>
    </row>
    <row r="492">
      <c r="A492" s="11" t="str">
        <f t="shared" si="1"/>
        <v/>
      </c>
      <c r="B492" s="16"/>
      <c r="C492" s="16"/>
      <c r="D492" s="16"/>
      <c r="E492" s="16"/>
      <c r="F492" s="17"/>
      <c r="G492" s="17"/>
      <c r="H492" s="17"/>
      <c r="I492" s="17"/>
      <c r="J492" s="17"/>
      <c r="K492" s="17"/>
      <c r="L492" s="17"/>
    </row>
    <row r="493">
      <c r="A493" s="11" t="str">
        <f t="shared" si="1"/>
        <v/>
      </c>
      <c r="B493" s="16"/>
      <c r="C493" s="16"/>
      <c r="D493" s="16"/>
      <c r="E493" s="16"/>
      <c r="F493" s="17"/>
      <c r="G493" s="17"/>
      <c r="H493" s="17"/>
      <c r="I493" s="17"/>
      <c r="J493" s="17"/>
      <c r="K493" s="17"/>
      <c r="L493" s="17"/>
    </row>
    <row r="494">
      <c r="A494" s="11" t="str">
        <f t="shared" si="1"/>
        <v/>
      </c>
      <c r="B494" s="16"/>
      <c r="C494" s="16"/>
      <c r="D494" s="16"/>
      <c r="E494" s="16"/>
      <c r="F494" s="17"/>
      <c r="G494" s="17"/>
      <c r="H494" s="17"/>
      <c r="I494" s="17"/>
      <c r="J494" s="17"/>
      <c r="K494" s="17"/>
      <c r="L494" s="17"/>
    </row>
    <row r="495">
      <c r="A495" s="11" t="str">
        <f t="shared" si="1"/>
        <v/>
      </c>
      <c r="B495" s="16"/>
      <c r="C495" s="16"/>
      <c r="D495" s="16"/>
      <c r="E495" s="16"/>
      <c r="F495" s="17"/>
      <c r="G495" s="17"/>
      <c r="H495" s="17"/>
      <c r="I495" s="17"/>
      <c r="J495" s="17"/>
      <c r="K495" s="17"/>
      <c r="L495" s="17"/>
    </row>
    <row r="496">
      <c r="A496" s="11" t="str">
        <f t="shared" si="1"/>
        <v/>
      </c>
      <c r="B496" s="16"/>
      <c r="C496" s="16"/>
      <c r="D496" s="16"/>
      <c r="E496" s="16"/>
      <c r="F496" s="17"/>
      <c r="G496" s="17"/>
      <c r="H496" s="17"/>
      <c r="I496" s="17"/>
      <c r="J496" s="17"/>
      <c r="K496" s="17"/>
      <c r="L496" s="17"/>
    </row>
    <row r="497">
      <c r="A497" s="11" t="str">
        <f t="shared" si="1"/>
        <v/>
      </c>
      <c r="B497" s="16"/>
      <c r="C497" s="16"/>
      <c r="D497" s="16"/>
      <c r="E497" s="16"/>
      <c r="F497" s="17"/>
      <c r="G497" s="17"/>
      <c r="H497" s="17"/>
      <c r="I497" s="17"/>
      <c r="J497" s="17"/>
      <c r="K497" s="17"/>
      <c r="L497" s="17"/>
    </row>
    <row r="498">
      <c r="A498" s="11" t="str">
        <f t="shared" si="1"/>
        <v/>
      </c>
      <c r="B498" s="16"/>
      <c r="C498" s="16"/>
      <c r="D498" s="16"/>
      <c r="E498" s="16"/>
      <c r="F498" s="17"/>
      <c r="G498" s="17"/>
      <c r="H498" s="17"/>
      <c r="I498" s="17"/>
      <c r="J498" s="17"/>
      <c r="K498" s="17"/>
      <c r="L498" s="17"/>
    </row>
    <row r="499">
      <c r="A499" s="11" t="str">
        <f t="shared" si="1"/>
        <v/>
      </c>
      <c r="B499" s="16"/>
      <c r="C499" s="16"/>
      <c r="D499" s="16"/>
      <c r="E499" s="16"/>
      <c r="F499" s="17"/>
      <c r="G499" s="17"/>
      <c r="H499" s="17"/>
      <c r="I499" s="17"/>
      <c r="J499" s="17"/>
      <c r="K499" s="17"/>
      <c r="L499" s="17"/>
    </row>
    <row r="500">
      <c r="A500" s="11" t="str">
        <f t="shared" si="1"/>
        <v/>
      </c>
      <c r="B500" s="16"/>
      <c r="C500" s="16"/>
      <c r="D500" s="16"/>
      <c r="E500" s="16"/>
      <c r="F500" s="17"/>
      <c r="G500" s="17"/>
      <c r="H500" s="17"/>
      <c r="I500" s="17"/>
      <c r="J500" s="17"/>
      <c r="K500" s="17"/>
      <c r="L500" s="17"/>
    </row>
    <row r="501">
      <c r="A501" s="11" t="str">
        <f t="shared" si="1"/>
        <v/>
      </c>
      <c r="B501" s="16"/>
      <c r="C501" s="16"/>
      <c r="D501" s="16"/>
      <c r="E501" s="16"/>
      <c r="F501" s="17"/>
      <c r="G501" s="17"/>
      <c r="H501" s="17"/>
      <c r="I501" s="17"/>
      <c r="J501" s="17"/>
      <c r="K501" s="17"/>
      <c r="L501" s="17"/>
    </row>
    <row r="502">
      <c r="A502" s="11" t="str">
        <f t="shared" si="1"/>
        <v/>
      </c>
      <c r="B502" s="16"/>
      <c r="C502" s="16"/>
      <c r="D502" s="16"/>
      <c r="E502" s="16"/>
      <c r="F502" s="17"/>
      <c r="G502" s="17"/>
      <c r="H502" s="17"/>
      <c r="I502" s="17"/>
      <c r="J502" s="17"/>
      <c r="K502" s="17"/>
      <c r="L502" s="17"/>
    </row>
    <row r="503">
      <c r="A503" s="11" t="str">
        <f t="shared" si="1"/>
        <v/>
      </c>
      <c r="B503" s="16"/>
      <c r="C503" s="16"/>
      <c r="D503" s="16"/>
      <c r="E503" s="16"/>
      <c r="F503" s="17"/>
      <c r="G503" s="17"/>
      <c r="H503" s="17"/>
      <c r="I503" s="17"/>
      <c r="J503" s="17"/>
      <c r="K503" s="17"/>
      <c r="L503" s="17"/>
    </row>
    <row r="504">
      <c r="A504" s="11" t="str">
        <f t="shared" si="1"/>
        <v/>
      </c>
      <c r="B504" s="16"/>
      <c r="C504" s="16"/>
      <c r="D504" s="16"/>
      <c r="E504" s="16"/>
      <c r="F504" s="17"/>
      <c r="G504" s="17"/>
      <c r="H504" s="17"/>
      <c r="I504" s="17"/>
      <c r="J504" s="17"/>
      <c r="K504" s="17"/>
      <c r="L504" s="17"/>
    </row>
    <row r="505">
      <c r="A505" s="11" t="str">
        <f t="shared" si="1"/>
        <v/>
      </c>
      <c r="B505" s="16"/>
      <c r="C505" s="16"/>
      <c r="D505" s="16"/>
      <c r="E505" s="16"/>
      <c r="F505" s="17"/>
      <c r="G505" s="17"/>
      <c r="H505" s="17"/>
      <c r="I505" s="17"/>
      <c r="J505" s="17"/>
      <c r="K505" s="17"/>
      <c r="L505" s="17"/>
    </row>
    <row r="506">
      <c r="A506" s="11" t="str">
        <f t="shared" si="1"/>
        <v/>
      </c>
      <c r="B506" s="16"/>
      <c r="C506" s="16"/>
      <c r="D506" s="16"/>
      <c r="E506" s="16"/>
      <c r="F506" s="17"/>
      <c r="G506" s="17"/>
      <c r="H506" s="17"/>
      <c r="I506" s="17"/>
      <c r="J506" s="17"/>
      <c r="K506" s="17"/>
      <c r="L506" s="17"/>
    </row>
    <row r="507">
      <c r="A507" s="11" t="str">
        <f t="shared" si="1"/>
        <v/>
      </c>
      <c r="B507" s="16"/>
      <c r="C507" s="16"/>
      <c r="D507" s="16"/>
      <c r="E507" s="16"/>
      <c r="F507" s="17"/>
      <c r="G507" s="17"/>
      <c r="H507" s="17"/>
      <c r="I507" s="17"/>
      <c r="J507" s="17"/>
      <c r="K507" s="17"/>
      <c r="L507" s="17"/>
    </row>
    <row r="508">
      <c r="A508" s="11" t="str">
        <f t="shared" si="1"/>
        <v/>
      </c>
      <c r="B508" s="16"/>
      <c r="C508" s="16"/>
      <c r="D508" s="16"/>
      <c r="E508" s="16"/>
      <c r="F508" s="17"/>
      <c r="G508" s="17"/>
      <c r="H508" s="17"/>
      <c r="I508" s="17"/>
      <c r="J508" s="17"/>
      <c r="K508" s="17"/>
      <c r="L508" s="17"/>
    </row>
    <row r="509">
      <c r="A509" s="11" t="str">
        <f t="shared" si="1"/>
        <v/>
      </c>
      <c r="B509" s="16"/>
      <c r="C509" s="16"/>
      <c r="D509" s="16"/>
      <c r="E509" s="16"/>
      <c r="F509" s="17"/>
      <c r="G509" s="17"/>
      <c r="H509" s="17"/>
      <c r="I509" s="17"/>
      <c r="J509" s="17"/>
      <c r="K509" s="17"/>
      <c r="L509" s="17"/>
    </row>
    <row r="510">
      <c r="A510" s="11" t="str">
        <f t="shared" si="1"/>
        <v/>
      </c>
      <c r="B510" s="16"/>
      <c r="C510" s="16"/>
      <c r="D510" s="16"/>
      <c r="E510" s="16"/>
      <c r="F510" s="17"/>
      <c r="G510" s="17"/>
      <c r="H510" s="17"/>
      <c r="I510" s="17"/>
      <c r="J510" s="17"/>
      <c r="K510" s="17"/>
      <c r="L510" s="17"/>
    </row>
    <row r="511">
      <c r="A511" s="11" t="str">
        <f t="shared" si="1"/>
        <v/>
      </c>
      <c r="B511" s="16"/>
      <c r="C511" s="16"/>
      <c r="D511" s="16"/>
      <c r="E511" s="16"/>
      <c r="F511" s="17"/>
      <c r="G511" s="17"/>
      <c r="H511" s="17"/>
      <c r="I511" s="17"/>
      <c r="J511" s="17"/>
      <c r="K511" s="17"/>
      <c r="L511" s="17"/>
    </row>
    <row r="512">
      <c r="A512" s="11" t="str">
        <f t="shared" si="1"/>
        <v/>
      </c>
      <c r="B512" s="16"/>
      <c r="C512" s="16"/>
      <c r="D512" s="16"/>
      <c r="E512" s="16"/>
      <c r="F512" s="17"/>
      <c r="G512" s="17"/>
      <c r="H512" s="17"/>
      <c r="I512" s="17"/>
      <c r="J512" s="17"/>
      <c r="K512" s="17"/>
      <c r="L512" s="17"/>
    </row>
    <row r="513">
      <c r="A513" s="11" t="str">
        <f t="shared" si="1"/>
        <v/>
      </c>
      <c r="B513" s="16"/>
      <c r="C513" s="16"/>
      <c r="D513" s="16"/>
      <c r="E513" s="16"/>
      <c r="F513" s="17"/>
      <c r="G513" s="17"/>
      <c r="H513" s="17"/>
      <c r="I513" s="17"/>
      <c r="J513" s="17"/>
      <c r="K513" s="17"/>
      <c r="L513" s="17"/>
    </row>
    <row r="514">
      <c r="A514" s="11" t="str">
        <f t="shared" si="1"/>
        <v/>
      </c>
      <c r="B514" s="16"/>
      <c r="C514" s="16"/>
      <c r="D514" s="16"/>
      <c r="E514" s="16"/>
      <c r="F514" s="17"/>
      <c r="G514" s="17"/>
      <c r="H514" s="17"/>
      <c r="I514" s="17"/>
      <c r="J514" s="17"/>
      <c r="K514" s="17"/>
      <c r="L514" s="17"/>
    </row>
    <row r="515">
      <c r="A515" s="11" t="str">
        <f t="shared" si="1"/>
        <v/>
      </c>
      <c r="B515" s="16"/>
      <c r="C515" s="16"/>
      <c r="D515" s="16"/>
      <c r="E515" s="16"/>
      <c r="F515" s="17"/>
      <c r="G515" s="17"/>
      <c r="H515" s="17"/>
      <c r="I515" s="17"/>
      <c r="J515" s="17"/>
      <c r="K515" s="17"/>
      <c r="L515" s="17"/>
    </row>
    <row r="516">
      <c r="A516" s="11" t="str">
        <f t="shared" si="1"/>
        <v/>
      </c>
      <c r="B516" s="16"/>
      <c r="C516" s="16"/>
      <c r="D516" s="16"/>
      <c r="E516" s="16"/>
      <c r="F516" s="17"/>
      <c r="G516" s="17"/>
      <c r="H516" s="17"/>
      <c r="I516" s="17"/>
      <c r="J516" s="17"/>
      <c r="K516" s="17"/>
      <c r="L516" s="17"/>
    </row>
    <row r="517">
      <c r="A517" s="11" t="str">
        <f t="shared" si="1"/>
        <v/>
      </c>
      <c r="B517" s="16"/>
      <c r="C517" s="16"/>
      <c r="D517" s="16"/>
      <c r="E517" s="16"/>
      <c r="F517" s="17"/>
      <c r="G517" s="17"/>
      <c r="H517" s="17"/>
      <c r="I517" s="17"/>
      <c r="J517" s="17"/>
      <c r="K517" s="17"/>
      <c r="L517" s="17"/>
    </row>
    <row r="518">
      <c r="A518" s="11" t="str">
        <f t="shared" si="1"/>
        <v/>
      </c>
      <c r="B518" s="16"/>
      <c r="C518" s="16"/>
      <c r="D518" s="16"/>
      <c r="E518" s="16"/>
      <c r="F518" s="17"/>
      <c r="G518" s="17"/>
      <c r="H518" s="17"/>
      <c r="I518" s="17"/>
      <c r="J518" s="17"/>
      <c r="K518" s="17"/>
      <c r="L518" s="17"/>
    </row>
    <row r="519">
      <c r="A519" s="11" t="str">
        <f t="shared" si="1"/>
        <v/>
      </c>
      <c r="B519" s="16"/>
      <c r="C519" s="16"/>
      <c r="D519" s="16"/>
      <c r="E519" s="16"/>
      <c r="F519" s="17"/>
      <c r="G519" s="17"/>
      <c r="H519" s="17"/>
      <c r="I519" s="17"/>
      <c r="J519" s="17"/>
      <c r="K519" s="17"/>
      <c r="L519" s="17"/>
    </row>
    <row r="520">
      <c r="A520" s="11" t="str">
        <f t="shared" si="1"/>
        <v/>
      </c>
      <c r="B520" s="16"/>
      <c r="C520" s="16"/>
      <c r="D520" s="16"/>
      <c r="E520" s="16"/>
      <c r="F520" s="17"/>
      <c r="G520" s="17"/>
      <c r="H520" s="17"/>
      <c r="I520" s="17"/>
      <c r="J520" s="17"/>
      <c r="K520" s="17"/>
      <c r="L520" s="17"/>
    </row>
    <row r="521">
      <c r="A521" s="11" t="str">
        <f t="shared" si="1"/>
        <v/>
      </c>
      <c r="B521" s="16"/>
      <c r="C521" s="16"/>
      <c r="D521" s="16"/>
      <c r="E521" s="16"/>
      <c r="F521" s="17"/>
      <c r="G521" s="17"/>
      <c r="H521" s="17"/>
      <c r="I521" s="17"/>
      <c r="J521" s="17"/>
      <c r="K521" s="17"/>
      <c r="L521" s="17"/>
    </row>
    <row r="522">
      <c r="A522" s="11" t="str">
        <f t="shared" si="1"/>
        <v/>
      </c>
      <c r="B522" s="16"/>
      <c r="C522" s="16"/>
      <c r="D522" s="16"/>
      <c r="E522" s="16"/>
      <c r="F522" s="17"/>
      <c r="G522" s="17"/>
      <c r="H522" s="17"/>
      <c r="I522" s="17"/>
      <c r="J522" s="17"/>
      <c r="K522" s="17"/>
      <c r="L522" s="17"/>
    </row>
    <row r="523">
      <c r="A523" s="11" t="str">
        <f t="shared" si="1"/>
        <v/>
      </c>
      <c r="B523" s="16"/>
      <c r="C523" s="16"/>
      <c r="D523" s="16"/>
      <c r="E523" s="16"/>
      <c r="F523" s="17"/>
      <c r="G523" s="17"/>
      <c r="H523" s="17"/>
      <c r="I523" s="17"/>
      <c r="J523" s="17"/>
      <c r="K523" s="17"/>
      <c r="L523" s="17"/>
    </row>
    <row r="524">
      <c r="A524" s="11" t="str">
        <f t="shared" si="1"/>
        <v/>
      </c>
      <c r="B524" s="16"/>
      <c r="C524" s="16"/>
      <c r="D524" s="16"/>
      <c r="E524" s="16"/>
      <c r="F524" s="17"/>
      <c r="G524" s="17"/>
      <c r="H524" s="17"/>
      <c r="I524" s="17"/>
      <c r="J524" s="17"/>
      <c r="K524" s="17"/>
      <c r="L524" s="17"/>
    </row>
    <row r="525">
      <c r="A525" s="11" t="str">
        <f t="shared" si="1"/>
        <v/>
      </c>
      <c r="B525" s="16"/>
      <c r="C525" s="16"/>
      <c r="D525" s="16"/>
      <c r="E525" s="16"/>
      <c r="F525" s="17"/>
      <c r="G525" s="17"/>
      <c r="H525" s="17"/>
      <c r="I525" s="17"/>
      <c r="J525" s="17"/>
      <c r="K525" s="17"/>
      <c r="L525" s="17"/>
    </row>
    <row r="526">
      <c r="A526" s="11" t="str">
        <f t="shared" si="1"/>
        <v/>
      </c>
      <c r="B526" s="16"/>
      <c r="C526" s="16"/>
      <c r="D526" s="16"/>
      <c r="E526" s="16"/>
      <c r="F526" s="17"/>
      <c r="G526" s="17"/>
      <c r="H526" s="17"/>
      <c r="I526" s="17"/>
      <c r="J526" s="17"/>
      <c r="K526" s="17"/>
      <c r="L526" s="17"/>
    </row>
    <row r="527">
      <c r="A527" s="11" t="str">
        <f t="shared" si="1"/>
        <v/>
      </c>
      <c r="B527" s="16"/>
      <c r="C527" s="16"/>
      <c r="D527" s="16"/>
      <c r="E527" s="16"/>
      <c r="F527" s="17"/>
      <c r="G527" s="17"/>
      <c r="H527" s="17"/>
      <c r="I527" s="17"/>
      <c r="J527" s="17"/>
      <c r="K527" s="17"/>
      <c r="L527" s="17"/>
    </row>
    <row r="528">
      <c r="A528" s="11" t="str">
        <f t="shared" si="1"/>
        <v/>
      </c>
      <c r="B528" s="16"/>
      <c r="C528" s="16"/>
      <c r="D528" s="16"/>
      <c r="E528" s="16"/>
      <c r="F528" s="17"/>
      <c r="G528" s="17"/>
      <c r="H528" s="17"/>
      <c r="I528" s="17"/>
      <c r="J528" s="17"/>
      <c r="K528" s="17"/>
      <c r="L528" s="17"/>
    </row>
    <row r="529">
      <c r="A529" s="11" t="str">
        <f t="shared" si="1"/>
        <v/>
      </c>
      <c r="B529" s="16"/>
      <c r="C529" s="16"/>
      <c r="D529" s="16"/>
      <c r="E529" s="16"/>
      <c r="F529" s="17"/>
      <c r="G529" s="17"/>
      <c r="H529" s="17"/>
      <c r="I529" s="17"/>
      <c r="J529" s="17"/>
      <c r="K529" s="17"/>
      <c r="L529" s="17"/>
    </row>
    <row r="530">
      <c r="A530" s="11" t="str">
        <f t="shared" si="1"/>
        <v/>
      </c>
      <c r="B530" s="16"/>
      <c r="C530" s="16"/>
      <c r="D530" s="16"/>
      <c r="E530" s="16"/>
      <c r="F530" s="17"/>
      <c r="G530" s="17"/>
      <c r="H530" s="17"/>
      <c r="I530" s="17"/>
      <c r="J530" s="17"/>
      <c r="K530" s="17"/>
      <c r="L530" s="17"/>
    </row>
    <row r="531">
      <c r="A531" s="11" t="str">
        <f t="shared" si="1"/>
        <v/>
      </c>
      <c r="B531" s="16"/>
      <c r="C531" s="16"/>
      <c r="D531" s="16"/>
      <c r="E531" s="16"/>
      <c r="F531" s="17"/>
      <c r="G531" s="17"/>
      <c r="H531" s="17"/>
      <c r="I531" s="17"/>
      <c r="J531" s="17"/>
      <c r="K531" s="17"/>
      <c r="L531" s="17"/>
    </row>
    <row r="532">
      <c r="A532" s="11" t="str">
        <f t="shared" si="1"/>
        <v/>
      </c>
      <c r="B532" s="16"/>
      <c r="C532" s="16"/>
      <c r="D532" s="16"/>
      <c r="E532" s="16"/>
      <c r="F532" s="17"/>
      <c r="G532" s="17"/>
      <c r="H532" s="17"/>
      <c r="I532" s="17"/>
      <c r="J532" s="17"/>
      <c r="K532" s="17"/>
      <c r="L532" s="17"/>
    </row>
    <row r="533">
      <c r="A533" s="11" t="str">
        <f t="shared" si="1"/>
        <v/>
      </c>
      <c r="B533" s="16"/>
      <c r="C533" s="16"/>
      <c r="D533" s="16"/>
      <c r="E533" s="16"/>
      <c r="F533" s="17"/>
      <c r="G533" s="17"/>
      <c r="H533" s="17"/>
      <c r="I533" s="17"/>
      <c r="J533" s="17"/>
      <c r="K533" s="17"/>
      <c r="L533" s="17"/>
    </row>
    <row r="534">
      <c r="A534" s="11" t="str">
        <f t="shared" si="1"/>
        <v/>
      </c>
      <c r="B534" s="16"/>
      <c r="C534" s="16"/>
      <c r="D534" s="16"/>
      <c r="E534" s="16"/>
      <c r="F534" s="17"/>
      <c r="G534" s="17"/>
      <c r="H534" s="17"/>
      <c r="I534" s="17"/>
      <c r="J534" s="17"/>
      <c r="K534" s="17"/>
      <c r="L534" s="17"/>
    </row>
    <row r="535">
      <c r="A535" s="11" t="str">
        <f t="shared" si="1"/>
        <v/>
      </c>
      <c r="B535" s="16"/>
      <c r="C535" s="16"/>
      <c r="D535" s="16"/>
      <c r="E535" s="16"/>
      <c r="F535" s="17"/>
      <c r="G535" s="17"/>
      <c r="H535" s="17"/>
      <c r="I535" s="17"/>
      <c r="J535" s="17"/>
      <c r="K535" s="17"/>
      <c r="L535" s="17"/>
    </row>
    <row r="536">
      <c r="A536" s="11" t="str">
        <f t="shared" si="1"/>
        <v/>
      </c>
      <c r="B536" s="16"/>
      <c r="C536" s="16"/>
      <c r="D536" s="16"/>
      <c r="E536" s="16"/>
      <c r="F536" s="17"/>
      <c r="G536" s="17"/>
      <c r="H536" s="17"/>
      <c r="I536" s="17"/>
      <c r="J536" s="17"/>
      <c r="K536" s="17"/>
      <c r="L536" s="17"/>
    </row>
    <row r="537">
      <c r="A537" s="11" t="str">
        <f t="shared" si="1"/>
        <v/>
      </c>
      <c r="B537" s="16"/>
      <c r="C537" s="16"/>
      <c r="D537" s="16"/>
      <c r="E537" s="16"/>
      <c r="F537" s="17"/>
      <c r="G537" s="17"/>
      <c r="H537" s="17"/>
      <c r="I537" s="17"/>
      <c r="J537" s="17"/>
      <c r="K537" s="17"/>
      <c r="L537" s="17"/>
    </row>
    <row r="538">
      <c r="A538" s="11" t="str">
        <f t="shared" si="1"/>
        <v/>
      </c>
      <c r="B538" s="16"/>
      <c r="C538" s="16"/>
      <c r="D538" s="16"/>
      <c r="E538" s="16"/>
      <c r="F538" s="17"/>
      <c r="G538" s="17"/>
      <c r="H538" s="17"/>
      <c r="I538" s="17"/>
      <c r="J538" s="17"/>
      <c r="K538" s="17"/>
      <c r="L538" s="17"/>
    </row>
    <row r="539">
      <c r="A539" s="11" t="str">
        <f t="shared" si="1"/>
        <v/>
      </c>
      <c r="B539" s="16"/>
      <c r="C539" s="16"/>
      <c r="D539" s="16"/>
      <c r="E539" s="16"/>
      <c r="F539" s="17"/>
      <c r="G539" s="17"/>
      <c r="H539" s="17"/>
      <c r="I539" s="17"/>
      <c r="J539" s="17"/>
      <c r="K539" s="17"/>
      <c r="L539" s="17"/>
    </row>
    <row r="540">
      <c r="A540" s="11" t="str">
        <f t="shared" si="1"/>
        <v/>
      </c>
      <c r="B540" s="16"/>
      <c r="C540" s="16"/>
      <c r="D540" s="16"/>
      <c r="E540" s="16"/>
      <c r="F540" s="17"/>
      <c r="G540" s="17"/>
      <c r="H540" s="17"/>
      <c r="I540" s="17"/>
      <c r="J540" s="17"/>
      <c r="K540" s="17"/>
      <c r="L540" s="17"/>
    </row>
    <row r="541">
      <c r="A541" s="11" t="str">
        <f t="shared" si="1"/>
        <v/>
      </c>
      <c r="B541" s="16"/>
      <c r="C541" s="16"/>
      <c r="D541" s="16"/>
      <c r="E541" s="16"/>
      <c r="F541" s="17"/>
      <c r="G541" s="17"/>
      <c r="H541" s="17"/>
      <c r="I541" s="17"/>
      <c r="J541" s="17"/>
      <c r="K541" s="17"/>
      <c r="L541" s="17"/>
    </row>
    <row r="542">
      <c r="A542" s="11" t="str">
        <f t="shared" si="1"/>
        <v/>
      </c>
      <c r="B542" s="16"/>
      <c r="C542" s="16"/>
      <c r="D542" s="16"/>
      <c r="E542" s="16"/>
      <c r="F542" s="17"/>
      <c r="G542" s="17"/>
      <c r="H542" s="17"/>
      <c r="I542" s="17"/>
      <c r="J542" s="17"/>
      <c r="K542" s="17"/>
      <c r="L542" s="17"/>
    </row>
    <row r="543">
      <c r="A543" s="11" t="str">
        <f t="shared" si="1"/>
        <v/>
      </c>
      <c r="B543" s="16"/>
      <c r="C543" s="16"/>
      <c r="D543" s="16"/>
      <c r="E543" s="16"/>
      <c r="F543" s="17"/>
      <c r="G543" s="17"/>
      <c r="H543" s="17"/>
      <c r="I543" s="17"/>
      <c r="J543" s="17"/>
      <c r="K543" s="17"/>
      <c r="L543" s="17"/>
    </row>
    <row r="544">
      <c r="A544" s="11" t="str">
        <f t="shared" si="1"/>
        <v/>
      </c>
      <c r="B544" s="16"/>
      <c r="C544" s="16"/>
      <c r="D544" s="16"/>
      <c r="E544" s="16"/>
      <c r="F544" s="17"/>
      <c r="G544" s="17"/>
      <c r="H544" s="17"/>
      <c r="I544" s="17"/>
      <c r="J544" s="17"/>
      <c r="K544" s="17"/>
      <c r="L544" s="17"/>
    </row>
    <row r="545">
      <c r="A545" s="11" t="str">
        <f t="shared" si="1"/>
        <v/>
      </c>
      <c r="B545" s="16"/>
      <c r="C545" s="16"/>
      <c r="D545" s="16"/>
      <c r="E545" s="16"/>
      <c r="F545" s="17"/>
      <c r="G545" s="17"/>
      <c r="H545" s="17"/>
      <c r="I545" s="17"/>
      <c r="J545" s="17"/>
      <c r="K545" s="17"/>
      <c r="L545" s="17"/>
    </row>
    <row r="546">
      <c r="A546" s="11" t="str">
        <f t="shared" si="1"/>
        <v/>
      </c>
      <c r="B546" s="16"/>
      <c r="C546" s="16"/>
      <c r="D546" s="16"/>
      <c r="E546" s="16"/>
      <c r="F546" s="17"/>
      <c r="G546" s="17"/>
      <c r="H546" s="17"/>
      <c r="I546" s="17"/>
      <c r="J546" s="17"/>
      <c r="K546" s="17"/>
      <c r="L546" s="17"/>
    </row>
    <row r="547">
      <c r="A547" s="11" t="str">
        <f t="shared" si="1"/>
        <v/>
      </c>
      <c r="B547" s="16"/>
      <c r="C547" s="16"/>
      <c r="D547" s="16"/>
      <c r="E547" s="16"/>
      <c r="F547" s="17"/>
      <c r="G547" s="17"/>
      <c r="H547" s="17"/>
      <c r="I547" s="17"/>
      <c r="J547" s="17"/>
      <c r="K547" s="17"/>
      <c r="L547" s="17"/>
    </row>
    <row r="548">
      <c r="A548" s="11" t="str">
        <f t="shared" si="1"/>
        <v/>
      </c>
      <c r="B548" s="16"/>
      <c r="C548" s="16"/>
      <c r="D548" s="16"/>
      <c r="E548" s="16"/>
      <c r="F548" s="17"/>
      <c r="G548" s="17"/>
      <c r="H548" s="17"/>
      <c r="I548" s="17"/>
      <c r="J548" s="17"/>
      <c r="K548" s="17"/>
      <c r="L548" s="17"/>
    </row>
    <row r="549">
      <c r="A549" s="11" t="str">
        <f t="shared" si="1"/>
        <v/>
      </c>
      <c r="B549" s="16"/>
      <c r="C549" s="16"/>
      <c r="D549" s="16"/>
      <c r="E549" s="16"/>
      <c r="F549" s="17"/>
      <c r="G549" s="17"/>
      <c r="H549" s="17"/>
      <c r="I549" s="17"/>
      <c r="J549" s="17"/>
      <c r="K549" s="17"/>
      <c r="L549" s="17"/>
    </row>
    <row r="550">
      <c r="A550" s="11" t="str">
        <f t="shared" si="1"/>
        <v/>
      </c>
      <c r="B550" s="16"/>
      <c r="C550" s="16"/>
      <c r="D550" s="16"/>
      <c r="E550" s="16"/>
      <c r="F550" s="17"/>
      <c r="G550" s="17"/>
      <c r="H550" s="17"/>
      <c r="I550" s="17"/>
      <c r="J550" s="17"/>
      <c r="K550" s="17"/>
      <c r="L550" s="17"/>
    </row>
    <row r="551">
      <c r="A551" s="11" t="str">
        <f t="shared" si="1"/>
        <v/>
      </c>
      <c r="B551" s="16"/>
      <c r="C551" s="16"/>
      <c r="D551" s="16"/>
      <c r="E551" s="16"/>
      <c r="F551" s="17"/>
      <c r="G551" s="17"/>
      <c r="H551" s="17"/>
      <c r="I551" s="17"/>
      <c r="J551" s="17"/>
      <c r="K551" s="17"/>
      <c r="L551" s="17"/>
    </row>
    <row r="552">
      <c r="A552" s="11" t="str">
        <f t="shared" si="1"/>
        <v/>
      </c>
      <c r="B552" s="16"/>
      <c r="C552" s="16"/>
      <c r="D552" s="16"/>
      <c r="E552" s="16"/>
      <c r="F552" s="17"/>
      <c r="G552" s="17"/>
      <c r="H552" s="17"/>
      <c r="I552" s="17"/>
      <c r="J552" s="17"/>
      <c r="K552" s="17"/>
      <c r="L552" s="17"/>
    </row>
    <row r="553">
      <c r="A553" s="11" t="str">
        <f t="shared" si="1"/>
        <v/>
      </c>
      <c r="B553" s="16"/>
      <c r="C553" s="16"/>
      <c r="D553" s="16"/>
      <c r="E553" s="16"/>
      <c r="F553" s="17"/>
      <c r="G553" s="17"/>
      <c r="H553" s="17"/>
      <c r="I553" s="17"/>
      <c r="J553" s="17"/>
      <c r="K553" s="17"/>
      <c r="L553" s="17"/>
    </row>
    <row r="554">
      <c r="A554" s="11" t="str">
        <f t="shared" si="1"/>
        <v/>
      </c>
      <c r="B554" s="16"/>
      <c r="C554" s="16"/>
      <c r="D554" s="16"/>
      <c r="E554" s="16"/>
      <c r="F554" s="17"/>
      <c r="G554" s="17"/>
      <c r="H554" s="17"/>
      <c r="I554" s="17"/>
      <c r="J554" s="17"/>
      <c r="K554" s="17"/>
      <c r="L554" s="17"/>
    </row>
    <row r="555">
      <c r="A555" s="11" t="str">
        <f t="shared" si="1"/>
        <v/>
      </c>
      <c r="B555" s="16"/>
      <c r="C555" s="16"/>
      <c r="D555" s="16"/>
      <c r="E555" s="16"/>
      <c r="F555" s="17"/>
      <c r="G555" s="17"/>
      <c r="H555" s="17"/>
      <c r="I555" s="17"/>
      <c r="J555" s="17"/>
      <c r="K555" s="17"/>
      <c r="L555" s="17"/>
    </row>
    <row r="556">
      <c r="A556" s="11" t="str">
        <f t="shared" si="1"/>
        <v/>
      </c>
      <c r="B556" s="16"/>
      <c r="C556" s="16"/>
      <c r="D556" s="16"/>
      <c r="E556" s="16"/>
      <c r="F556" s="17"/>
      <c r="G556" s="17"/>
      <c r="H556" s="17"/>
      <c r="I556" s="17"/>
      <c r="J556" s="17"/>
      <c r="K556" s="17"/>
      <c r="L556" s="17"/>
    </row>
    <row r="557">
      <c r="A557" s="11" t="str">
        <f t="shared" si="1"/>
        <v/>
      </c>
      <c r="B557" s="16"/>
      <c r="C557" s="16"/>
      <c r="D557" s="16"/>
      <c r="E557" s="16"/>
      <c r="F557" s="17"/>
      <c r="G557" s="17"/>
      <c r="H557" s="17"/>
      <c r="I557" s="17"/>
      <c r="J557" s="17"/>
      <c r="K557" s="17"/>
      <c r="L557" s="17"/>
    </row>
    <row r="558">
      <c r="A558" s="11" t="str">
        <f t="shared" si="1"/>
        <v/>
      </c>
      <c r="B558" s="16"/>
      <c r="C558" s="16"/>
      <c r="D558" s="16"/>
      <c r="E558" s="16"/>
      <c r="F558" s="17"/>
      <c r="G558" s="17"/>
      <c r="H558" s="17"/>
      <c r="I558" s="17"/>
      <c r="J558" s="17"/>
      <c r="K558" s="17"/>
      <c r="L558" s="17"/>
    </row>
    <row r="559">
      <c r="A559" s="11" t="str">
        <f t="shared" si="1"/>
        <v/>
      </c>
      <c r="B559" s="16"/>
      <c r="C559" s="16"/>
      <c r="D559" s="16"/>
      <c r="E559" s="16"/>
      <c r="F559" s="17"/>
      <c r="G559" s="17"/>
      <c r="H559" s="17"/>
      <c r="I559" s="17"/>
      <c r="J559" s="17"/>
      <c r="K559" s="17"/>
      <c r="L559" s="17"/>
    </row>
    <row r="560">
      <c r="A560" s="11" t="str">
        <f t="shared" si="1"/>
        <v/>
      </c>
      <c r="B560" s="16"/>
      <c r="C560" s="16"/>
      <c r="D560" s="16"/>
      <c r="E560" s="16"/>
      <c r="F560" s="17"/>
      <c r="G560" s="17"/>
      <c r="H560" s="17"/>
      <c r="I560" s="17"/>
      <c r="J560" s="17"/>
      <c r="K560" s="17"/>
      <c r="L560" s="17"/>
    </row>
    <row r="561">
      <c r="A561" s="11" t="str">
        <f t="shared" si="1"/>
        <v/>
      </c>
      <c r="B561" s="16"/>
      <c r="C561" s="16"/>
      <c r="D561" s="16"/>
      <c r="E561" s="16"/>
      <c r="F561" s="17"/>
      <c r="G561" s="17"/>
      <c r="H561" s="17"/>
      <c r="I561" s="17"/>
      <c r="J561" s="17"/>
      <c r="K561" s="17"/>
      <c r="L561" s="17"/>
    </row>
    <row r="562">
      <c r="A562" s="11" t="str">
        <f t="shared" si="1"/>
        <v/>
      </c>
      <c r="B562" s="16"/>
      <c r="C562" s="16"/>
      <c r="D562" s="16"/>
      <c r="E562" s="16"/>
      <c r="F562" s="17"/>
      <c r="G562" s="17"/>
      <c r="H562" s="17"/>
      <c r="I562" s="17"/>
      <c r="J562" s="17"/>
      <c r="K562" s="17"/>
      <c r="L562" s="17"/>
    </row>
    <row r="563">
      <c r="A563" s="11" t="str">
        <f t="shared" si="1"/>
        <v/>
      </c>
      <c r="B563" s="16"/>
      <c r="C563" s="16"/>
      <c r="D563" s="16"/>
      <c r="E563" s="16"/>
      <c r="F563" s="17"/>
      <c r="G563" s="17"/>
      <c r="H563" s="17"/>
      <c r="I563" s="17"/>
      <c r="J563" s="17"/>
      <c r="K563" s="17"/>
      <c r="L563" s="17"/>
    </row>
    <row r="564">
      <c r="A564" s="11" t="str">
        <f t="shared" si="1"/>
        <v/>
      </c>
      <c r="B564" s="16"/>
      <c r="C564" s="16"/>
      <c r="D564" s="16"/>
      <c r="E564" s="16"/>
      <c r="F564" s="17"/>
      <c r="G564" s="17"/>
      <c r="H564" s="17"/>
      <c r="I564" s="17"/>
      <c r="J564" s="17"/>
      <c r="K564" s="17"/>
      <c r="L564" s="17"/>
    </row>
    <row r="565">
      <c r="A565" s="11" t="str">
        <f t="shared" si="1"/>
        <v/>
      </c>
      <c r="B565" s="16"/>
      <c r="C565" s="16"/>
      <c r="D565" s="16"/>
      <c r="E565" s="16"/>
      <c r="F565" s="17"/>
      <c r="G565" s="17"/>
      <c r="H565" s="17"/>
      <c r="I565" s="17"/>
      <c r="J565" s="17"/>
      <c r="K565" s="17"/>
      <c r="L565" s="17"/>
    </row>
    <row r="566">
      <c r="A566" s="11" t="str">
        <f t="shared" si="1"/>
        <v/>
      </c>
      <c r="B566" s="16"/>
      <c r="C566" s="16"/>
      <c r="D566" s="16"/>
      <c r="E566" s="16"/>
      <c r="F566" s="17"/>
      <c r="G566" s="17"/>
      <c r="H566" s="17"/>
      <c r="I566" s="17"/>
      <c r="J566" s="17"/>
      <c r="K566" s="17"/>
      <c r="L566" s="17"/>
    </row>
    <row r="567">
      <c r="A567" s="11" t="str">
        <f t="shared" si="1"/>
        <v/>
      </c>
      <c r="B567" s="16"/>
      <c r="C567" s="16"/>
      <c r="D567" s="16"/>
      <c r="E567" s="16"/>
      <c r="F567" s="17"/>
      <c r="G567" s="17"/>
      <c r="H567" s="17"/>
      <c r="I567" s="17"/>
      <c r="J567" s="17"/>
      <c r="K567" s="17"/>
      <c r="L567" s="17"/>
    </row>
    <row r="568">
      <c r="A568" s="11" t="str">
        <f t="shared" si="1"/>
        <v/>
      </c>
      <c r="B568" s="16"/>
      <c r="C568" s="16"/>
      <c r="D568" s="16"/>
      <c r="E568" s="16"/>
      <c r="F568" s="17"/>
      <c r="G568" s="17"/>
      <c r="H568" s="17"/>
      <c r="I568" s="17"/>
      <c r="J568" s="17"/>
      <c r="K568" s="17"/>
      <c r="L568" s="17"/>
    </row>
    <row r="569">
      <c r="A569" s="11" t="str">
        <f t="shared" si="1"/>
        <v/>
      </c>
      <c r="B569" s="16"/>
      <c r="C569" s="16"/>
      <c r="D569" s="16"/>
      <c r="E569" s="16"/>
      <c r="F569" s="17"/>
      <c r="G569" s="17"/>
      <c r="H569" s="17"/>
      <c r="I569" s="17"/>
      <c r="J569" s="17"/>
      <c r="K569" s="17"/>
      <c r="L569" s="17"/>
    </row>
    <row r="570">
      <c r="A570" s="11" t="str">
        <f t="shared" si="1"/>
        <v/>
      </c>
      <c r="B570" s="16"/>
      <c r="C570" s="16"/>
      <c r="D570" s="16"/>
      <c r="E570" s="16"/>
      <c r="F570" s="17"/>
      <c r="G570" s="17"/>
      <c r="H570" s="17"/>
      <c r="I570" s="17"/>
      <c r="J570" s="17"/>
      <c r="K570" s="17"/>
      <c r="L570" s="17"/>
    </row>
    <row r="571">
      <c r="A571" s="11" t="str">
        <f t="shared" si="1"/>
        <v/>
      </c>
      <c r="B571" s="16"/>
      <c r="C571" s="16"/>
      <c r="D571" s="16"/>
      <c r="E571" s="16"/>
      <c r="F571" s="17"/>
      <c r="G571" s="17"/>
      <c r="H571" s="17"/>
      <c r="I571" s="17"/>
      <c r="J571" s="17"/>
      <c r="K571" s="17"/>
      <c r="L571" s="17"/>
    </row>
    <row r="572">
      <c r="A572" s="11" t="str">
        <f t="shared" si="1"/>
        <v/>
      </c>
      <c r="B572" s="16"/>
      <c r="C572" s="16"/>
      <c r="D572" s="16"/>
      <c r="E572" s="16"/>
      <c r="F572" s="17"/>
      <c r="G572" s="17"/>
      <c r="H572" s="17"/>
      <c r="I572" s="17"/>
      <c r="J572" s="17"/>
      <c r="K572" s="17"/>
      <c r="L572" s="17"/>
    </row>
    <row r="573">
      <c r="A573" s="11" t="str">
        <f t="shared" si="1"/>
        <v/>
      </c>
      <c r="B573" s="16"/>
      <c r="C573" s="16"/>
      <c r="D573" s="16"/>
      <c r="E573" s="16"/>
      <c r="F573" s="17"/>
      <c r="G573" s="17"/>
      <c r="H573" s="17"/>
      <c r="I573" s="17"/>
      <c r="J573" s="17"/>
      <c r="K573" s="17"/>
      <c r="L573" s="17"/>
    </row>
    <row r="574">
      <c r="A574" s="11" t="str">
        <f t="shared" si="1"/>
        <v/>
      </c>
      <c r="B574" s="16"/>
      <c r="C574" s="16"/>
      <c r="D574" s="16"/>
      <c r="E574" s="16"/>
      <c r="F574" s="17"/>
      <c r="G574" s="17"/>
      <c r="H574" s="17"/>
      <c r="I574" s="17"/>
      <c r="J574" s="17"/>
      <c r="K574" s="17"/>
      <c r="L574" s="17"/>
    </row>
    <row r="575">
      <c r="A575" s="11" t="str">
        <f t="shared" si="1"/>
        <v/>
      </c>
      <c r="B575" s="16"/>
      <c r="C575" s="16"/>
      <c r="D575" s="16"/>
      <c r="E575" s="16"/>
      <c r="F575" s="17"/>
      <c r="G575" s="17"/>
      <c r="H575" s="17"/>
      <c r="I575" s="17"/>
      <c r="J575" s="17"/>
      <c r="K575" s="17"/>
      <c r="L575" s="17"/>
    </row>
    <row r="576">
      <c r="A576" s="11" t="str">
        <f t="shared" si="1"/>
        <v/>
      </c>
      <c r="B576" s="16"/>
      <c r="C576" s="16"/>
      <c r="D576" s="16"/>
      <c r="E576" s="16"/>
      <c r="F576" s="17"/>
      <c r="G576" s="17"/>
      <c r="H576" s="17"/>
      <c r="I576" s="17"/>
      <c r="J576" s="17"/>
      <c r="K576" s="17"/>
      <c r="L576" s="17"/>
    </row>
    <row r="577">
      <c r="A577" s="11" t="str">
        <f t="shared" si="1"/>
        <v/>
      </c>
      <c r="B577" s="16"/>
      <c r="C577" s="16"/>
      <c r="D577" s="16"/>
      <c r="E577" s="16"/>
      <c r="F577" s="17"/>
      <c r="G577" s="17"/>
      <c r="H577" s="17"/>
      <c r="I577" s="17"/>
      <c r="J577" s="17"/>
      <c r="K577" s="17"/>
      <c r="L577" s="17"/>
    </row>
    <row r="578">
      <c r="A578" s="11" t="str">
        <f t="shared" si="1"/>
        <v/>
      </c>
      <c r="B578" s="16"/>
      <c r="C578" s="16"/>
      <c r="D578" s="16"/>
      <c r="E578" s="16"/>
      <c r="F578" s="17"/>
      <c r="G578" s="17"/>
      <c r="H578" s="17"/>
      <c r="I578" s="17"/>
      <c r="J578" s="17"/>
      <c r="K578" s="17"/>
      <c r="L578" s="17"/>
    </row>
    <row r="579">
      <c r="A579" s="11" t="str">
        <f t="shared" si="1"/>
        <v/>
      </c>
      <c r="B579" s="16"/>
      <c r="C579" s="16"/>
      <c r="D579" s="16"/>
      <c r="E579" s="16"/>
      <c r="F579" s="17"/>
      <c r="G579" s="17"/>
      <c r="H579" s="17"/>
      <c r="I579" s="17"/>
      <c r="J579" s="17"/>
      <c r="K579" s="17"/>
      <c r="L579" s="17"/>
    </row>
    <row r="580">
      <c r="A580" s="11" t="str">
        <f t="shared" si="1"/>
        <v/>
      </c>
      <c r="B580" s="16"/>
      <c r="C580" s="16"/>
      <c r="D580" s="16"/>
      <c r="E580" s="16"/>
      <c r="F580" s="17"/>
      <c r="G580" s="17"/>
      <c r="H580" s="17"/>
      <c r="I580" s="17"/>
      <c r="J580" s="17"/>
      <c r="K580" s="17"/>
      <c r="L580" s="17"/>
    </row>
    <row r="581">
      <c r="A581" s="11" t="str">
        <f t="shared" si="1"/>
        <v/>
      </c>
      <c r="B581" s="16"/>
      <c r="C581" s="16"/>
      <c r="D581" s="16"/>
      <c r="E581" s="16"/>
      <c r="F581" s="17"/>
      <c r="G581" s="17"/>
      <c r="H581" s="17"/>
      <c r="I581" s="17"/>
      <c r="J581" s="17"/>
      <c r="K581" s="17"/>
      <c r="L581" s="17"/>
    </row>
    <row r="582">
      <c r="A582" s="11" t="str">
        <f t="shared" si="1"/>
        <v/>
      </c>
      <c r="B582" s="16"/>
      <c r="C582" s="16"/>
      <c r="D582" s="16"/>
      <c r="E582" s="16"/>
      <c r="F582" s="17"/>
      <c r="G582" s="17"/>
      <c r="H582" s="17"/>
      <c r="I582" s="17"/>
      <c r="J582" s="17"/>
      <c r="K582" s="17"/>
      <c r="L582" s="17"/>
    </row>
    <row r="583">
      <c r="A583" s="11" t="str">
        <f t="shared" si="1"/>
        <v/>
      </c>
      <c r="B583" s="16"/>
      <c r="C583" s="16"/>
      <c r="D583" s="16"/>
      <c r="E583" s="16"/>
      <c r="F583" s="17"/>
      <c r="G583" s="17"/>
      <c r="H583" s="17"/>
      <c r="I583" s="17"/>
      <c r="J583" s="17"/>
      <c r="K583" s="17"/>
      <c r="L583" s="17"/>
    </row>
    <row r="584">
      <c r="A584" s="11" t="str">
        <f t="shared" si="1"/>
        <v/>
      </c>
      <c r="B584" s="16"/>
      <c r="C584" s="16"/>
      <c r="D584" s="16"/>
      <c r="E584" s="16"/>
      <c r="F584" s="17"/>
      <c r="G584" s="17"/>
      <c r="H584" s="17"/>
      <c r="I584" s="17"/>
      <c r="J584" s="17"/>
      <c r="K584" s="17"/>
      <c r="L584" s="17"/>
    </row>
    <row r="585">
      <c r="A585" s="11" t="str">
        <f t="shared" si="1"/>
        <v/>
      </c>
      <c r="B585" s="16"/>
      <c r="C585" s="16"/>
      <c r="D585" s="16"/>
      <c r="E585" s="16"/>
      <c r="F585" s="17"/>
      <c r="G585" s="17"/>
      <c r="H585" s="17"/>
      <c r="I585" s="17"/>
      <c r="J585" s="17"/>
      <c r="K585" s="17"/>
      <c r="L585" s="17"/>
    </row>
    <row r="586">
      <c r="A586" s="11" t="str">
        <f t="shared" si="1"/>
        <v/>
      </c>
      <c r="B586" s="16"/>
      <c r="C586" s="16"/>
      <c r="D586" s="16"/>
      <c r="E586" s="16"/>
      <c r="F586" s="17"/>
      <c r="G586" s="17"/>
      <c r="H586" s="17"/>
      <c r="I586" s="17"/>
      <c r="J586" s="17"/>
      <c r="K586" s="17"/>
      <c r="L586" s="17"/>
    </row>
    <row r="587">
      <c r="A587" s="11" t="str">
        <f t="shared" si="1"/>
        <v/>
      </c>
      <c r="B587" s="16"/>
      <c r="C587" s="16"/>
      <c r="D587" s="16"/>
      <c r="E587" s="16"/>
      <c r="F587" s="17"/>
      <c r="G587" s="17"/>
      <c r="H587" s="17"/>
      <c r="I587" s="17"/>
      <c r="J587" s="17"/>
      <c r="K587" s="17"/>
      <c r="L587" s="17"/>
    </row>
    <row r="588">
      <c r="A588" s="11" t="str">
        <f t="shared" si="1"/>
        <v/>
      </c>
      <c r="B588" s="16"/>
      <c r="C588" s="16"/>
      <c r="D588" s="16"/>
      <c r="E588" s="16"/>
      <c r="F588" s="17"/>
      <c r="G588" s="17"/>
      <c r="H588" s="17"/>
      <c r="I588" s="17"/>
      <c r="J588" s="17"/>
      <c r="K588" s="17"/>
      <c r="L588" s="17"/>
    </row>
    <row r="589">
      <c r="A589" s="11" t="str">
        <f t="shared" si="1"/>
        <v/>
      </c>
      <c r="B589" s="16"/>
      <c r="C589" s="16"/>
      <c r="D589" s="16"/>
      <c r="E589" s="16"/>
      <c r="F589" s="17"/>
      <c r="G589" s="17"/>
      <c r="H589" s="17"/>
      <c r="I589" s="17"/>
      <c r="J589" s="17"/>
      <c r="K589" s="17"/>
      <c r="L589" s="17"/>
    </row>
    <row r="590">
      <c r="A590" s="11" t="str">
        <f t="shared" si="1"/>
        <v/>
      </c>
      <c r="B590" s="16"/>
      <c r="C590" s="16"/>
      <c r="D590" s="16"/>
      <c r="E590" s="16"/>
      <c r="F590" s="17"/>
      <c r="G590" s="17"/>
      <c r="H590" s="17"/>
      <c r="I590" s="17"/>
      <c r="J590" s="17"/>
      <c r="K590" s="17"/>
      <c r="L590" s="17"/>
    </row>
    <row r="591">
      <c r="A591" s="11" t="str">
        <f t="shared" si="1"/>
        <v/>
      </c>
      <c r="B591" s="16"/>
      <c r="C591" s="16"/>
      <c r="D591" s="16"/>
      <c r="E591" s="16"/>
      <c r="F591" s="17"/>
      <c r="G591" s="17"/>
      <c r="H591" s="17"/>
      <c r="I591" s="17"/>
      <c r="J591" s="17"/>
      <c r="K591" s="17"/>
      <c r="L591" s="17"/>
    </row>
    <row r="592">
      <c r="A592" s="11" t="str">
        <f t="shared" si="1"/>
        <v/>
      </c>
      <c r="B592" s="16"/>
      <c r="C592" s="16"/>
      <c r="D592" s="16"/>
      <c r="E592" s="16"/>
      <c r="F592" s="17"/>
      <c r="G592" s="17"/>
      <c r="H592" s="17"/>
      <c r="I592" s="17"/>
      <c r="J592" s="17"/>
      <c r="K592" s="17"/>
      <c r="L592" s="17"/>
    </row>
    <row r="593">
      <c r="A593" s="11" t="str">
        <f t="shared" si="1"/>
        <v/>
      </c>
      <c r="B593" s="16"/>
      <c r="C593" s="16"/>
      <c r="D593" s="16"/>
      <c r="E593" s="16"/>
      <c r="F593" s="17"/>
      <c r="G593" s="17"/>
      <c r="H593" s="17"/>
      <c r="I593" s="17"/>
      <c r="J593" s="17"/>
      <c r="K593" s="17"/>
      <c r="L593" s="17"/>
    </row>
    <row r="594">
      <c r="A594" s="11" t="str">
        <f t="shared" si="1"/>
        <v/>
      </c>
      <c r="B594" s="16"/>
      <c r="C594" s="16"/>
      <c r="D594" s="16"/>
      <c r="E594" s="16"/>
      <c r="F594" s="17"/>
      <c r="G594" s="17"/>
      <c r="H594" s="17"/>
      <c r="I594" s="17"/>
      <c r="J594" s="17"/>
      <c r="K594" s="17"/>
      <c r="L594" s="17"/>
    </row>
    <row r="595">
      <c r="A595" s="11" t="str">
        <f t="shared" si="1"/>
        <v/>
      </c>
      <c r="B595" s="16"/>
      <c r="C595" s="16"/>
      <c r="D595" s="16"/>
      <c r="E595" s="16"/>
      <c r="F595" s="17"/>
      <c r="G595" s="17"/>
      <c r="H595" s="17"/>
      <c r="I595" s="17"/>
      <c r="J595" s="17"/>
      <c r="K595" s="17"/>
      <c r="L595" s="17"/>
    </row>
    <row r="596">
      <c r="A596" s="11" t="str">
        <f t="shared" si="1"/>
        <v/>
      </c>
      <c r="B596" s="16"/>
      <c r="C596" s="16"/>
      <c r="D596" s="16"/>
      <c r="E596" s="16"/>
      <c r="F596" s="17"/>
      <c r="G596" s="17"/>
      <c r="H596" s="17"/>
      <c r="I596" s="17"/>
      <c r="J596" s="17"/>
      <c r="K596" s="17"/>
      <c r="L596" s="17"/>
    </row>
    <row r="597">
      <c r="A597" s="11" t="str">
        <f t="shared" si="1"/>
        <v/>
      </c>
      <c r="B597" s="16"/>
      <c r="C597" s="16"/>
      <c r="D597" s="16"/>
      <c r="E597" s="16"/>
      <c r="F597" s="17"/>
      <c r="G597" s="17"/>
      <c r="H597" s="17"/>
      <c r="I597" s="17"/>
      <c r="J597" s="17"/>
      <c r="K597" s="17"/>
      <c r="L597" s="17"/>
    </row>
    <row r="598">
      <c r="A598" s="11" t="str">
        <f t="shared" si="1"/>
        <v/>
      </c>
      <c r="B598" s="16"/>
      <c r="C598" s="16"/>
      <c r="D598" s="16"/>
      <c r="E598" s="16"/>
      <c r="F598" s="17"/>
      <c r="G598" s="17"/>
      <c r="H598" s="17"/>
      <c r="I598" s="17"/>
      <c r="J598" s="17"/>
      <c r="K598" s="17"/>
      <c r="L598" s="17"/>
    </row>
    <row r="599">
      <c r="A599" s="11" t="str">
        <f t="shared" si="1"/>
        <v/>
      </c>
      <c r="B599" s="16"/>
      <c r="C599" s="16"/>
      <c r="D599" s="16"/>
      <c r="E599" s="16"/>
      <c r="F599" s="17"/>
      <c r="G599" s="17"/>
      <c r="H599" s="17"/>
      <c r="I599" s="17"/>
      <c r="J599" s="17"/>
      <c r="K599" s="17"/>
      <c r="L599" s="17"/>
    </row>
    <row r="600">
      <c r="A600" s="11" t="str">
        <f t="shared" si="1"/>
        <v/>
      </c>
      <c r="B600" s="16"/>
      <c r="C600" s="16"/>
      <c r="D600" s="16"/>
      <c r="E600" s="16"/>
      <c r="F600" s="17"/>
      <c r="G600" s="17"/>
      <c r="H600" s="17"/>
      <c r="I600" s="17"/>
      <c r="J600" s="17"/>
      <c r="K600" s="17"/>
      <c r="L600" s="17"/>
    </row>
    <row r="601">
      <c r="A601" s="11" t="str">
        <f t="shared" si="1"/>
        <v/>
      </c>
      <c r="B601" s="16"/>
      <c r="C601" s="16"/>
      <c r="D601" s="16"/>
      <c r="E601" s="16"/>
      <c r="F601" s="17"/>
      <c r="G601" s="17"/>
      <c r="H601" s="17"/>
      <c r="I601" s="17"/>
      <c r="J601" s="17"/>
      <c r="K601" s="17"/>
      <c r="L601" s="17"/>
    </row>
    <row r="602">
      <c r="A602" s="11" t="str">
        <f t="shared" si="1"/>
        <v/>
      </c>
      <c r="B602" s="16"/>
      <c r="C602" s="16"/>
      <c r="D602" s="16"/>
      <c r="E602" s="16"/>
      <c r="F602" s="17"/>
      <c r="G602" s="17"/>
      <c r="H602" s="17"/>
      <c r="I602" s="17"/>
      <c r="J602" s="17"/>
      <c r="K602" s="17"/>
      <c r="L602" s="17"/>
    </row>
    <row r="603">
      <c r="A603" s="11" t="str">
        <f t="shared" si="1"/>
        <v/>
      </c>
      <c r="B603" s="16"/>
      <c r="C603" s="16"/>
      <c r="D603" s="16"/>
      <c r="E603" s="16"/>
      <c r="F603" s="17"/>
      <c r="G603" s="17"/>
      <c r="H603" s="17"/>
      <c r="I603" s="17"/>
      <c r="J603" s="17"/>
      <c r="K603" s="17"/>
      <c r="L603" s="17"/>
    </row>
    <row r="604">
      <c r="A604" s="11" t="str">
        <f t="shared" si="1"/>
        <v/>
      </c>
      <c r="B604" s="16"/>
      <c r="C604" s="16"/>
      <c r="D604" s="16"/>
      <c r="E604" s="16"/>
      <c r="F604" s="17"/>
      <c r="G604" s="17"/>
      <c r="H604" s="17"/>
      <c r="I604" s="17"/>
      <c r="J604" s="17"/>
      <c r="K604" s="17"/>
      <c r="L604" s="17"/>
    </row>
    <row r="605">
      <c r="A605" s="11" t="str">
        <f t="shared" si="1"/>
        <v/>
      </c>
      <c r="B605" s="16"/>
      <c r="C605" s="16"/>
      <c r="D605" s="16"/>
      <c r="E605" s="16"/>
      <c r="F605" s="17"/>
      <c r="G605" s="17"/>
      <c r="H605" s="17"/>
      <c r="I605" s="17"/>
      <c r="J605" s="17"/>
      <c r="K605" s="17"/>
      <c r="L605" s="17"/>
    </row>
    <row r="606">
      <c r="A606" s="11" t="str">
        <f t="shared" si="1"/>
        <v/>
      </c>
      <c r="B606" s="16"/>
      <c r="C606" s="16"/>
      <c r="D606" s="16"/>
      <c r="E606" s="16"/>
      <c r="F606" s="17"/>
      <c r="G606" s="17"/>
      <c r="H606" s="17"/>
      <c r="I606" s="17"/>
      <c r="J606" s="17"/>
      <c r="K606" s="17"/>
      <c r="L606" s="17"/>
    </row>
    <row r="607">
      <c r="A607" s="11" t="str">
        <f t="shared" si="1"/>
        <v/>
      </c>
      <c r="B607" s="16"/>
      <c r="C607" s="16"/>
      <c r="D607" s="16"/>
      <c r="E607" s="16"/>
      <c r="F607" s="17"/>
      <c r="G607" s="17"/>
      <c r="H607" s="17"/>
      <c r="I607" s="17"/>
      <c r="J607" s="17"/>
      <c r="K607" s="17"/>
      <c r="L607" s="17"/>
    </row>
    <row r="608">
      <c r="A608" s="11" t="str">
        <f t="shared" si="1"/>
        <v/>
      </c>
      <c r="B608" s="16"/>
      <c r="C608" s="16"/>
      <c r="D608" s="16"/>
      <c r="E608" s="16"/>
      <c r="F608" s="17"/>
      <c r="G608" s="17"/>
      <c r="H608" s="17"/>
      <c r="I608" s="17"/>
      <c r="J608" s="17"/>
      <c r="K608" s="17"/>
      <c r="L608" s="17"/>
    </row>
    <row r="609">
      <c r="A609" s="11" t="str">
        <f t="shared" si="1"/>
        <v/>
      </c>
      <c r="B609" s="16"/>
      <c r="C609" s="16"/>
      <c r="D609" s="16"/>
      <c r="E609" s="16"/>
      <c r="F609" s="17"/>
      <c r="G609" s="17"/>
      <c r="H609" s="17"/>
      <c r="I609" s="17"/>
      <c r="J609" s="17"/>
      <c r="K609" s="17"/>
      <c r="L609" s="17"/>
    </row>
    <row r="610">
      <c r="A610" s="11" t="str">
        <f t="shared" si="1"/>
        <v/>
      </c>
      <c r="B610" s="16"/>
      <c r="C610" s="16"/>
      <c r="D610" s="16"/>
      <c r="E610" s="16"/>
      <c r="F610" s="17"/>
      <c r="G610" s="17"/>
      <c r="H610" s="17"/>
      <c r="I610" s="17"/>
      <c r="J610" s="17"/>
      <c r="K610" s="17"/>
      <c r="L610" s="17"/>
    </row>
    <row r="611">
      <c r="A611" s="11" t="str">
        <f t="shared" si="1"/>
        <v/>
      </c>
      <c r="B611" s="16"/>
      <c r="C611" s="16"/>
      <c r="D611" s="16"/>
      <c r="E611" s="16"/>
      <c r="F611" s="17"/>
      <c r="G611" s="17"/>
      <c r="H611" s="17"/>
      <c r="I611" s="17"/>
      <c r="J611" s="17"/>
      <c r="K611" s="17"/>
      <c r="L611" s="17"/>
    </row>
    <row r="612">
      <c r="A612" s="11" t="str">
        <f t="shared" si="1"/>
        <v/>
      </c>
      <c r="B612" s="16"/>
      <c r="C612" s="16"/>
      <c r="D612" s="16"/>
      <c r="E612" s="16"/>
      <c r="F612" s="17"/>
      <c r="G612" s="17"/>
      <c r="H612" s="17"/>
      <c r="I612" s="17"/>
      <c r="J612" s="17"/>
      <c r="K612" s="17"/>
      <c r="L612" s="17"/>
    </row>
    <row r="613">
      <c r="A613" s="11" t="str">
        <f t="shared" si="1"/>
        <v/>
      </c>
      <c r="B613" s="16"/>
      <c r="C613" s="16"/>
      <c r="D613" s="16"/>
      <c r="E613" s="16"/>
      <c r="F613" s="17"/>
      <c r="G613" s="17"/>
      <c r="H613" s="17"/>
      <c r="I613" s="17"/>
      <c r="J613" s="17"/>
      <c r="K613" s="17"/>
      <c r="L613" s="17"/>
    </row>
    <row r="614">
      <c r="A614" s="11" t="str">
        <f t="shared" si="1"/>
        <v/>
      </c>
      <c r="B614" s="16"/>
      <c r="C614" s="16"/>
      <c r="D614" s="16"/>
      <c r="E614" s="16"/>
      <c r="F614" s="17"/>
      <c r="G614" s="17"/>
      <c r="H614" s="17"/>
      <c r="I614" s="17"/>
      <c r="J614" s="17"/>
      <c r="K614" s="17"/>
      <c r="L614" s="17"/>
    </row>
    <row r="615">
      <c r="A615" s="11" t="str">
        <f t="shared" si="1"/>
        <v/>
      </c>
      <c r="B615" s="16"/>
      <c r="C615" s="16"/>
      <c r="D615" s="16"/>
      <c r="E615" s="16"/>
      <c r="F615" s="17"/>
      <c r="G615" s="17"/>
      <c r="H615" s="17"/>
      <c r="I615" s="17"/>
      <c r="J615" s="17"/>
      <c r="K615" s="17"/>
      <c r="L615" s="17"/>
    </row>
    <row r="616">
      <c r="A616" s="11" t="str">
        <f t="shared" si="1"/>
        <v/>
      </c>
      <c r="B616" s="16"/>
      <c r="C616" s="16"/>
      <c r="D616" s="16"/>
      <c r="E616" s="16"/>
      <c r="F616" s="17"/>
      <c r="G616" s="17"/>
      <c r="H616" s="17"/>
      <c r="I616" s="17"/>
      <c r="J616" s="17"/>
      <c r="K616" s="17"/>
      <c r="L616" s="17"/>
    </row>
    <row r="617">
      <c r="A617" s="11" t="str">
        <f t="shared" si="1"/>
        <v/>
      </c>
      <c r="B617" s="16"/>
      <c r="C617" s="16"/>
      <c r="D617" s="16"/>
      <c r="E617" s="16"/>
      <c r="F617" s="17"/>
      <c r="G617" s="17"/>
      <c r="H617" s="17"/>
      <c r="I617" s="17"/>
      <c r="J617" s="17"/>
      <c r="K617" s="17"/>
      <c r="L617" s="17"/>
    </row>
    <row r="618">
      <c r="A618" s="11" t="str">
        <f t="shared" si="1"/>
        <v/>
      </c>
      <c r="B618" s="16"/>
      <c r="C618" s="16"/>
      <c r="D618" s="16"/>
      <c r="E618" s="16"/>
      <c r="F618" s="17"/>
      <c r="G618" s="17"/>
      <c r="H618" s="17"/>
      <c r="I618" s="17"/>
      <c r="J618" s="17"/>
      <c r="K618" s="17"/>
      <c r="L618" s="17"/>
    </row>
    <row r="619">
      <c r="A619" s="11" t="str">
        <f t="shared" si="1"/>
        <v/>
      </c>
      <c r="B619" s="16"/>
      <c r="C619" s="16"/>
      <c r="D619" s="16"/>
      <c r="E619" s="16"/>
      <c r="F619" s="17"/>
      <c r="G619" s="17"/>
      <c r="H619" s="17"/>
      <c r="I619" s="17"/>
      <c r="J619" s="17"/>
      <c r="K619" s="17"/>
      <c r="L619" s="17"/>
    </row>
    <row r="620">
      <c r="A620" s="11" t="str">
        <f t="shared" si="1"/>
        <v/>
      </c>
      <c r="B620" s="16"/>
      <c r="C620" s="16"/>
      <c r="D620" s="16"/>
      <c r="E620" s="16"/>
      <c r="F620" s="17"/>
      <c r="G620" s="17"/>
      <c r="H620" s="17"/>
      <c r="I620" s="17"/>
      <c r="J620" s="17"/>
      <c r="K620" s="17"/>
      <c r="L620" s="17"/>
    </row>
    <row r="621">
      <c r="A621" s="11" t="str">
        <f t="shared" si="1"/>
        <v/>
      </c>
      <c r="B621" s="16"/>
      <c r="C621" s="16"/>
      <c r="D621" s="16"/>
      <c r="E621" s="16"/>
      <c r="F621" s="17"/>
      <c r="G621" s="17"/>
      <c r="H621" s="17"/>
      <c r="I621" s="17"/>
      <c r="J621" s="17"/>
      <c r="K621" s="17"/>
      <c r="L621" s="17"/>
    </row>
    <row r="622">
      <c r="A622" s="11" t="str">
        <f t="shared" si="1"/>
        <v/>
      </c>
      <c r="B622" s="16"/>
      <c r="C622" s="16"/>
      <c r="D622" s="16"/>
      <c r="E622" s="16"/>
      <c r="F622" s="17"/>
      <c r="G622" s="17"/>
      <c r="H622" s="17"/>
      <c r="I622" s="17"/>
      <c r="J622" s="17"/>
      <c r="K622" s="17"/>
      <c r="L622" s="17"/>
    </row>
    <row r="623">
      <c r="A623" s="11" t="str">
        <f t="shared" si="1"/>
        <v/>
      </c>
      <c r="B623" s="16"/>
      <c r="C623" s="16"/>
      <c r="D623" s="16"/>
      <c r="E623" s="16"/>
      <c r="F623" s="17"/>
      <c r="G623" s="17"/>
      <c r="H623" s="17"/>
      <c r="I623" s="17"/>
      <c r="J623" s="17"/>
      <c r="K623" s="17"/>
      <c r="L623" s="17"/>
    </row>
    <row r="624">
      <c r="A624" s="11" t="str">
        <f t="shared" si="1"/>
        <v/>
      </c>
      <c r="B624" s="16"/>
      <c r="C624" s="16"/>
      <c r="D624" s="16"/>
      <c r="E624" s="16"/>
      <c r="F624" s="17"/>
      <c r="G624" s="17"/>
      <c r="H624" s="17"/>
      <c r="I624" s="17"/>
      <c r="J624" s="17"/>
      <c r="K624" s="17"/>
      <c r="L624" s="17"/>
    </row>
    <row r="625">
      <c r="A625" s="11" t="str">
        <f t="shared" si="1"/>
        <v/>
      </c>
      <c r="B625" s="16"/>
      <c r="C625" s="16"/>
      <c r="D625" s="16"/>
      <c r="E625" s="16"/>
      <c r="F625" s="17"/>
      <c r="G625" s="17"/>
      <c r="H625" s="17"/>
      <c r="I625" s="17"/>
      <c r="J625" s="17"/>
      <c r="K625" s="17"/>
      <c r="L625" s="17"/>
    </row>
    <row r="626">
      <c r="A626" s="11" t="str">
        <f t="shared" si="1"/>
        <v/>
      </c>
      <c r="B626" s="16"/>
      <c r="C626" s="16"/>
      <c r="D626" s="16"/>
      <c r="E626" s="16"/>
      <c r="F626" s="17"/>
      <c r="G626" s="17"/>
      <c r="H626" s="17"/>
      <c r="I626" s="17"/>
      <c r="J626" s="17"/>
      <c r="K626" s="17"/>
      <c r="L626" s="17"/>
    </row>
    <row r="627">
      <c r="A627" s="11" t="str">
        <f t="shared" si="1"/>
        <v/>
      </c>
      <c r="B627" s="16"/>
      <c r="C627" s="16"/>
      <c r="D627" s="16"/>
      <c r="E627" s="16"/>
      <c r="F627" s="17"/>
      <c r="G627" s="17"/>
      <c r="H627" s="17"/>
      <c r="I627" s="17"/>
      <c r="J627" s="17"/>
      <c r="K627" s="17"/>
      <c r="L627" s="17"/>
    </row>
    <row r="628">
      <c r="A628" s="11" t="str">
        <f t="shared" si="1"/>
        <v/>
      </c>
      <c r="B628" s="16"/>
      <c r="C628" s="16"/>
      <c r="D628" s="16"/>
      <c r="E628" s="16"/>
      <c r="F628" s="17"/>
      <c r="G628" s="17"/>
      <c r="H628" s="17"/>
      <c r="I628" s="17"/>
      <c r="J628" s="17"/>
      <c r="K628" s="17"/>
      <c r="L628" s="17"/>
    </row>
    <row r="629">
      <c r="A629" s="11" t="str">
        <f t="shared" si="1"/>
        <v/>
      </c>
      <c r="B629" s="16"/>
      <c r="C629" s="16"/>
      <c r="D629" s="16"/>
      <c r="E629" s="16"/>
      <c r="F629" s="17"/>
      <c r="G629" s="17"/>
      <c r="H629" s="17"/>
      <c r="I629" s="17"/>
      <c r="J629" s="17"/>
      <c r="K629" s="17"/>
      <c r="L629" s="17"/>
    </row>
    <row r="630">
      <c r="A630" s="11" t="str">
        <f t="shared" si="1"/>
        <v/>
      </c>
      <c r="B630" s="16"/>
      <c r="C630" s="16"/>
      <c r="D630" s="16"/>
      <c r="E630" s="16"/>
      <c r="F630" s="17"/>
      <c r="G630" s="17"/>
      <c r="H630" s="17"/>
      <c r="I630" s="17"/>
      <c r="J630" s="17"/>
      <c r="K630" s="17"/>
      <c r="L630" s="17"/>
    </row>
    <row r="631">
      <c r="A631" s="11" t="str">
        <f t="shared" si="1"/>
        <v/>
      </c>
      <c r="B631" s="16"/>
      <c r="C631" s="16"/>
      <c r="D631" s="16"/>
      <c r="E631" s="16"/>
      <c r="F631" s="17"/>
      <c r="G631" s="17"/>
      <c r="H631" s="17"/>
      <c r="I631" s="17"/>
      <c r="J631" s="17"/>
      <c r="K631" s="17"/>
      <c r="L631" s="17"/>
    </row>
    <row r="632">
      <c r="A632" s="11" t="str">
        <f t="shared" si="1"/>
        <v/>
      </c>
      <c r="B632" s="16"/>
      <c r="C632" s="16"/>
      <c r="D632" s="16"/>
      <c r="E632" s="16"/>
      <c r="F632" s="17"/>
      <c r="G632" s="17"/>
      <c r="H632" s="17"/>
      <c r="I632" s="17"/>
      <c r="J632" s="17"/>
      <c r="K632" s="17"/>
      <c r="L632" s="17"/>
    </row>
    <row r="633">
      <c r="A633" s="11" t="str">
        <f t="shared" si="1"/>
        <v/>
      </c>
      <c r="B633" s="16"/>
      <c r="C633" s="16"/>
      <c r="D633" s="16"/>
      <c r="E633" s="16"/>
      <c r="F633" s="17"/>
      <c r="G633" s="17"/>
      <c r="H633" s="17"/>
      <c r="I633" s="17"/>
      <c r="J633" s="17"/>
      <c r="K633" s="17"/>
      <c r="L633" s="17"/>
    </row>
    <row r="634">
      <c r="A634" s="11" t="str">
        <f t="shared" si="1"/>
        <v/>
      </c>
      <c r="B634" s="16"/>
      <c r="C634" s="16"/>
      <c r="D634" s="16"/>
      <c r="E634" s="16"/>
      <c r="F634" s="17"/>
      <c r="G634" s="17"/>
      <c r="H634" s="17"/>
      <c r="I634" s="17"/>
      <c r="J634" s="17"/>
      <c r="K634" s="17"/>
      <c r="L634" s="17"/>
    </row>
    <row r="635">
      <c r="A635" s="11" t="str">
        <f t="shared" si="1"/>
        <v/>
      </c>
      <c r="B635" s="16"/>
      <c r="C635" s="16"/>
      <c r="D635" s="16"/>
      <c r="E635" s="16"/>
      <c r="F635" s="17"/>
      <c r="G635" s="17"/>
      <c r="H635" s="17"/>
      <c r="I635" s="17"/>
      <c r="J635" s="17"/>
      <c r="K635" s="17"/>
      <c r="L635" s="17"/>
    </row>
    <row r="636">
      <c r="A636" s="11" t="str">
        <f t="shared" si="1"/>
        <v/>
      </c>
      <c r="B636" s="16"/>
      <c r="C636" s="16"/>
      <c r="D636" s="16"/>
      <c r="E636" s="16"/>
      <c r="F636" s="17"/>
      <c r="G636" s="17"/>
      <c r="H636" s="17"/>
      <c r="I636" s="17"/>
      <c r="J636" s="17"/>
      <c r="K636" s="17"/>
      <c r="L636" s="17"/>
    </row>
    <row r="637">
      <c r="A637" s="11" t="str">
        <f t="shared" si="1"/>
        <v/>
      </c>
      <c r="B637" s="16"/>
      <c r="C637" s="16"/>
      <c r="D637" s="16"/>
      <c r="E637" s="16"/>
      <c r="F637" s="17"/>
      <c r="G637" s="17"/>
      <c r="H637" s="17"/>
      <c r="I637" s="17"/>
      <c r="J637" s="17"/>
      <c r="K637" s="17"/>
      <c r="L637" s="17"/>
    </row>
    <row r="638">
      <c r="A638" s="11" t="str">
        <f t="shared" si="1"/>
        <v/>
      </c>
      <c r="B638" s="16"/>
      <c r="C638" s="16"/>
      <c r="D638" s="16"/>
      <c r="E638" s="16"/>
      <c r="F638" s="17"/>
      <c r="G638" s="17"/>
      <c r="H638" s="17"/>
      <c r="I638" s="17"/>
      <c r="J638" s="17"/>
      <c r="K638" s="17"/>
      <c r="L638" s="17"/>
    </row>
    <row r="639">
      <c r="A639" s="11" t="str">
        <f t="shared" si="1"/>
        <v/>
      </c>
      <c r="B639" s="16"/>
      <c r="C639" s="16"/>
      <c r="D639" s="16"/>
      <c r="E639" s="16"/>
      <c r="F639" s="17"/>
      <c r="G639" s="17"/>
      <c r="H639" s="17"/>
      <c r="I639" s="17"/>
      <c r="J639" s="17"/>
      <c r="K639" s="17"/>
      <c r="L639" s="17"/>
    </row>
    <row r="640">
      <c r="A640" s="11" t="str">
        <f t="shared" si="1"/>
        <v/>
      </c>
      <c r="B640" s="16"/>
      <c r="C640" s="16"/>
      <c r="D640" s="16"/>
      <c r="E640" s="16"/>
      <c r="F640" s="17"/>
      <c r="G640" s="17"/>
      <c r="H640" s="17"/>
      <c r="I640" s="17"/>
      <c r="J640" s="17"/>
      <c r="K640" s="17"/>
      <c r="L640" s="17"/>
    </row>
    <row r="641">
      <c r="A641" s="11" t="str">
        <f t="shared" si="1"/>
        <v/>
      </c>
      <c r="B641" s="16"/>
      <c r="C641" s="16"/>
      <c r="D641" s="16"/>
      <c r="E641" s="16"/>
      <c r="F641" s="17"/>
      <c r="G641" s="17"/>
      <c r="H641" s="17"/>
      <c r="I641" s="17"/>
      <c r="J641" s="17"/>
      <c r="K641" s="17"/>
      <c r="L641" s="17"/>
    </row>
    <row r="642">
      <c r="A642" s="11" t="str">
        <f t="shared" si="1"/>
        <v/>
      </c>
      <c r="B642" s="16"/>
      <c r="C642" s="16"/>
      <c r="D642" s="16"/>
      <c r="E642" s="16"/>
      <c r="F642" s="17"/>
      <c r="G642" s="17"/>
      <c r="H642" s="17"/>
      <c r="I642" s="17"/>
      <c r="J642" s="17"/>
      <c r="K642" s="17"/>
      <c r="L642" s="17"/>
    </row>
    <row r="643">
      <c r="A643" s="11" t="str">
        <f t="shared" si="1"/>
        <v/>
      </c>
      <c r="B643" s="16"/>
      <c r="C643" s="16"/>
      <c r="D643" s="16"/>
      <c r="E643" s="16"/>
      <c r="F643" s="17"/>
      <c r="G643" s="17"/>
      <c r="H643" s="17"/>
      <c r="I643" s="17"/>
      <c r="J643" s="17"/>
      <c r="K643" s="17"/>
      <c r="L643" s="17"/>
    </row>
    <row r="644">
      <c r="A644" s="11" t="str">
        <f t="shared" si="1"/>
        <v/>
      </c>
      <c r="B644" s="16"/>
      <c r="C644" s="16"/>
      <c r="D644" s="16"/>
      <c r="E644" s="16"/>
      <c r="F644" s="17"/>
      <c r="G644" s="17"/>
      <c r="H644" s="17"/>
      <c r="I644" s="17"/>
      <c r="J644" s="17"/>
      <c r="K644" s="17"/>
      <c r="L644" s="17"/>
    </row>
    <row r="645">
      <c r="A645" s="11" t="str">
        <f t="shared" si="1"/>
        <v/>
      </c>
      <c r="B645" s="16"/>
      <c r="C645" s="16"/>
      <c r="D645" s="16"/>
      <c r="E645" s="16"/>
      <c r="F645" s="17"/>
      <c r="G645" s="17"/>
      <c r="H645" s="17"/>
      <c r="I645" s="17"/>
      <c r="J645" s="17"/>
      <c r="K645" s="17"/>
      <c r="L645" s="17"/>
    </row>
    <row r="646">
      <c r="A646" s="11" t="str">
        <f t="shared" si="1"/>
        <v/>
      </c>
      <c r="B646" s="16"/>
      <c r="C646" s="16"/>
      <c r="D646" s="16"/>
      <c r="E646" s="16"/>
      <c r="F646" s="17"/>
      <c r="G646" s="17"/>
      <c r="H646" s="17"/>
      <c r="I646" s="17"/>
      <c r="J646" s="17"/>
      <c r="K646" s="17"/>
      <c r="L646" s="17"/>
    </row>
    <row r="647">
      <c r="A647" s="11" t="str">
        <f t="shared" si="1"/>
        <v/>
      </c>
      <c r="B647" s="16"/>
      <c r="C647" s="16"/>
      <c r="D647" s="16"/>
      <c r="E647" s="16"/>
      <c r="F647" s="17"/>
      <c r="G647" s="17"/>
      <c r="H647" s="17"/>
      <c r="I647" s="17"/>
      <c r="J647" s="17"/>
      <c r="K647" s="17"/>
      <c r="L647" s="17"/>
    </row>
    <row r="648">
      <c r="A648" s="11" t="str">
        <f t="shared" si="1"/>
        <v/>
      </c>
      <c r="B648" s="16"/>
      <c r="C648" s="16"/>
      <c r="D648" s="16"/>
      <c r="E648" s="16"/>
      <c r="F648" s="17"/>
      <c r="G648" s="17"/>
      <c r="H648" s="17"/>
      <c r="I648" s="17"/>
      <c r="J648" s="17"/>
      <c r="K648" s="17"/>
      <c r="L648" s="17"/>
    </row>
    <row r="649">
      <c r="A649" s="11" t="str">
        <f t="shared" si="1"/>
        <v/>
      </c>
      <c r="B649" s="16"/>
      <c r="C649" s="16"/>
      <c r="D649" s="16"/>
      <c r="E649" s="16"/>
      <c r="F649" s="17"/>
      <c r="G649" s="17"/>
      <c r="H649" s="17"/>
      <c r="I649" s="17"/>
      <c r="J649" s="17"/>
      <c r="K649" s="17"/>
      <c r="L649" s="17"/>
    </row>
    <row r="650">
      <c r="A650" s="11" t="str">
        <f t="shared" si="1"/>
        <v/>
      </c>
      <c r="B650" s="16"/>
      <c r="C650" s="16"/>
      <c r="D650" s="16"/>
      <c r="E650" s="16"/>
      <c r="F650" s="17"/>
      <c r="G650" s="17"/>
      <c r="H650" s="17"/>
      <c r="I650" s="17"/>
      <c r="J650" s="17"/>
      <c r="K650" s="17"/>
      <c r="L650" s="17"/>
    </row>
    <row r="651">
      <c r="A651" s="11" t="str">
        <f t="shared" si="1"/>
        <v/>
      </c>
      <c r="B651" s="16"/>
      <c r="C651" s="16"/>
      <c r="D651" s="16"/>
      <c r="E651" s="16"/>
      <c r="F651" s="17"/>
      <c r="G651" s="17"/>
      <c r="H651" s="17"/>
      <c r="I651" s="17"/>
      <c r="J651" s="17"/>
      <c r="K651" s="17"/>
      <c r="L651" s="17"/>
    </row>
    <row r="652">
      <c r="A652" s="11" t="str">
        <f t="shared" si="1"/>
        <v/>
      </c>
      <c r="B652" s="16"/>
      <c r="C652" s="16"/>
      <c r="D652" s="16"/>
      <c r="E652" s="16"/>
      <c r="F652" s="17"/>
      <c r="G652" s="17"/>
      <c r="H652" s="17"/>
      <c r="I652" s="17"/>
      <c r="J652" s="17"/>
      <c r="K652" s="17"/>
      <c r="L652" s="17"/>
    </row>
    <row r="653">
      <c r="A653" s="11" t="str">
        <f t="shared" si="1"/>
        <v/>
      </c>
      <c r="B653" s="16"/>
      <c r="C653" s="16"/>
      <c r="D653" s="16"/>
      <c r="E653" s="16"/>
      <c r="F653" s="17"/>
      <c r="G653" s="17"/>
      <c r="H653" s="17"/>
      <c r="I653" s="17"/>
      <c r="J653" s="17"/>
      <c r="K653" s="17"/>
      <c r="L653" s="17"/>
    </row>
    <row r="654">
      <c r="A654" s="11" t="str">
        <f t="shared" si="1"/>
        <v/>
      </c>
      <c r="B654" s="16"/>
      <c r="C654" s="16"/>
      <c r="D654" s="16"/>
      <c r="E654" s="16"/>
      <c r="F654" s="17"/>
      <c r="G654" s="17"/>
      <c r="H654" s="17"/>
      <c r="I654" s="17"/>
      <c r="J654" s="17"/>
      <c r="K654" s="17"/>
      <c r="L654" s="17"/>
    </row>
    <row r="655">
      <c r="A655" s="11" t="str">
        <f t="shared" si="1"/>
        <v/>
      </c>
      <c r="B655" s="16"/>
      <c r="C655" s="16"/>
      <c r="D655" s="16"/>
      <c r="E655" s="16"/>
      <c r="F655" s="17"/>
      <c r="G655" s="17"/>
      <c r="H655" s="17"/>
      <c r="I655" s="17"/>
      <c r="J655" s="17"/>
      <c r="K655" s="17"/>
      <c r="L655" s="17"/>
    </row>
    <row r="656">
      <c r="A656" s="11" t="str">
        <f t="shared" si="1"/>
        <v/>
      </c>
      <c r="B656" s="16"/>
      <c r="C656" s="16"/>
      <c r="D656" s="16"/>
      <c r="E656" s="16"/>
      <c r="F656" s="17"/>
      <c r="G656" s="17"/>
      <c r="H656" s="17"/>
      <c r="I656" s="17"/>
      <c r="J656" s="17"/>
      <c r="K656" s="17"/>
      <c r="L656" s="17"/>
    </row>
    <row r="657">
      <c r="A657" s="11" t="str">
        <f t="shared" si="1"/>
        <v/>
      </c>
      <c r="B657" s="16"/>
      <c r="C657" s="16"/>
      <c r="D657" s="16"/>
      <c r="E657" s="16"/>
      <c r="F657" s="17"/>
      <c r="G657" s="17"/>
      <c r="H657" s="17"/>
      <c r="I657" s="17"/>
      <c r="J657" s="17"/>
      <c r="K657" s="17"/>
      <c r="L657" s="17"/>
    </row>
    <row r="658">
      <c r="A658" s="11" t="str">
        <f t="shared" si="1"/>
        <v/>
      </c>
      <c r="B658" s="16"/>
      <c r="C658" s="16"/>
      <c r="D658" s="16"/>
      <c r="E658" s="16"/>
      <c r="F658" s="17"/>
      <c r="G658" s="17"/>
      <c r="H658" s="17"/>
      <c r="I658" s="17"/>
      <c r="J658" s="17"/>
      <c r="K658" s="17"/>
      <c r="L658" s="17"/>
    </row>
    <row r="659">
      <c r="A659" s="11" t="str">
        <f t="shared" si="1"/>
        <v/>
      </c>
      <c r="B659" s="16"/>
      <c r="C659" s="16"/>
      <c r="D659" s="16"/>
      <c r="E659" s="16"/>
      <c r="F659" s="17"/>
      <c r="G659" s="17"/>
      <c r="H659" s="17"/>
      <c r="I659" s="17"/>
      <c r="J659" s="17"/>
      <c r="K659" s="17"/>
      <c r="L659" s="17"/>
    </row>
    <row r="660">
      <c r="A660" s="11" t="str">
        <f t="shared" si="1"/>
        <v/>
      </c>
      <c r="B660" s="16"/>
      <c r="C660" s="16"/>
      <c r="D660" s="16"/>
      <c r="E660" s="16"/>
      <c r="F660" s="17"/>
      <c r="G660" s="17"/>
      <c r="H660" s="17"/>
      <c r="I660" s="17"/>
      <c r="J660" s="17"/>
      <c r="K660" s="17"/>
      <c r="L660" s="17"/>
    </row>
    <row r="661">
      <c r="A661" s="11" t="str">
        <f t="shared" si="1"/>
        <v/>
      </c>
      <c r="B661" s="16"/>
      <c r="C661" s="16"/>
      <c r="D661" s="16"/>
      <c r="E661" s="16"/>
      <c r="F661" s="17"/>
      <c r="G661" s="17"/>
      <c r="H661" s="17"/>
      <c r="I661" s="17"/>
      <c r="J661" s="17"/>
      <c r="K661" s="17"/>
      <c r="L661" s="17"/>
    </row>
    <row r="662">
      <c r="A662" s="11" t="str">
        <f t="shared" si="1"/>
        <v/>
      </c>
      <c r="B662" s="16"/>
      <c r="C662" s="16"/>
      <c r="D662" s="16"/>
      <c r="E662" s="16"/>
      <c r="F662" s="17"/>
      <c r="G662" s="17"/>
      <c r="H662" s="17"/>
      <c r="I662" s="17"/>
      <c r="J662" s="17"/>
      <c r="K662" s="17"/>
      <c r="L662" s="17"/>
    </row>
    <row r="663">
      <c r="A663" s="11" t="str">
        <f t="shared" si="1"/>
        <v/>
      </c>
      <c r="B663" s="16"/>
      <c r="C663" s="16"/>
      <c r="D663" s="16"/>
      <c r="E663" s="16"/>
      <c r="F663" s="17"/>
      <c r="G663" s="17"/>
      <c r="H663" s="17"/>
      <c r="I663" s="17"/>
      <c r="J663" s="17"/>
      <c r="K663" s="17"/>
      <c r="L663" s="17"/>
    </row>
    <row r="664">
      <c r="A664" s="11" t="str">
        <f t="shared" si="1"/>
        <v/>
      </c>
      <c r="B664" s="16"/>
      <c r="C664" s="16"/>
      <c r="D664" s="16"/>
      <c r="E664" s="16"/>
      <c r="F664" s="17"/>
      <c r="G664" s="17"/>
      <c r="H664" s="17"/>
      <c r="I664" s="17"/>
      <c r="J664" s="17"/>
      <c r="K664" s="17"/>
      <c r="L664" s="17"/>
    </row>
    <row r="665">
      <c r="A665" s="11" t="str">
        <f t="shared" si="1"/>
        <v/>
      </c>
      <c r="B665" s="16"/>
      <c r="C665" s="16"/>
      <c r="D665" s="16"/>
      <c r="E665" s="16"/>
      <c r="F665" s="17"/>
      <c r="G665" s="17"/>
      <c r="H665" s="17"/>
      <c r="I665" s="17"/>
      <c r="J665" s="17"/>
      <c r="K665" s="17"/>
      <c r="L665" s="17"/>
    </row>
    <row r="666">
      <c r="A666" s="11" t="str">
        <f t="shared" si="1"/>
        <v/>
      </c>
      <c r="B666" s="16"/>
      <c r="C666" s="16"/>
      <c r="D666" s="16"/>
      <c r="E666" s="16"/>
      <c r="F666" s="17"/>
      <c r="G666" s="17"/>
      <c r="H666" s="17"/>
      <c r="I666" s="17"/>
      <c r="J666" s="17"/>
      <c r="K666" s="17"/>
      <c r="L666" s="17"/>
    </row>
    <row r="667">
      <c r="A667" s="11" t="str">
        <f t="shared" si="1"/>
        <v/>
      </c>
      <c r="B667" s="16"/>
      <c r="C667" s="16"/>
      <c r="D667" s="16"/>
      <c r="E667" s="16"/>
      <c r="F667" s="17"/>
      <c r="G667" s="17"/>
      <c r="H667" s="17"/>
      <c r="I667" s="17"/>
      <c r="J667" s="17"/>
      <c r="K667" s="17"/>
      <c r="L667" s="17"/>
    </row>
    <row r="668">
      <c r="A668" s="11" t="str">
        <f t="shared" si="1"/>
        <v/>
      </c>
      <c r="B668" s="16"/>
      <c r="C668" s="16"/>
      <c r="D668" s="16"/>
      <c r="E668" s="16"/>
      <c r="F668" s="17"/>
      <c r="G668" s="17"/>
      <c r="H668" s="17"/>
      <c r="I668" s="17"/>
      <c r="J668" s="17"/>
      <c r="K668" s="17"/>
      <c r="L668" s="17"/>
    </row>
    <row r="669">
      <c r="A669" s="11" t="str">
        <f t="shared" si="1"/>
        <v/>
      </c>
      <c r="B669" s="16"/>
      <c r="C669" s="16"/>
      <c r="D669" s="16"/>
      <c r="E669" s="16"/>
      <c r="F669" s="17"/>
      <c r="G669" s="17"/>
      <c r="H669" s="17"/>
      <c r="I669" s="17"/>
      <c r="J669" s="17"/>
      <c r="K669" s="17"/>
      <c r="L669" s="17"/>
    </row>
    <row r="670">
      <c r="A670" s="11" t="str">
        <f t="shared" si="1"/>
        <v/>
      </c>
      <c r="B670" s="16"/>
      <c r="C670" s="16"/>
      <c r="D670" s="16"/>
      <c r="E670" s="16"/>
      <c r="F670" s="17"/>
      <c r="G670" s="17"/>
      <c r="H670" s="17"/>
      <c r="I670" s="17"/>
      <c r="J670" s="17"/>
      <c r="K670" s="17"/>
      <c r="L670" s="17"/>
    </row>
    <row r="671">
      <c r="A671" s="11" t="str">
        <f t="shared" si="1"/>
        <v/>
      </c>
      <c r="B671" s="16"/>
      <c r="C671" s="16"/>
      <c r="D671" s="16"/>
      <c r="E671" s="16"/>
      <c r="F671" s="17"/>
      <c r="G671" s="17"/>
      <c r="H671" s="17"/>
      <c r="I671" s="17"/>
      <c r="J671" s="17"/>
      <c r="K671" s="17"/>
      <c r="L671" s="17"/>
    </row>
    <row r="672">
      <c r="A672" s="11" t="str">
        <f t="shared" si="1"/>
        <v/>
      </c>
      <c r="B672" s="16"/>
      <c r="C672" s="16"/>
      <c r="D672" s="16"/>
      <c r="E672" s="16"/>
      <c r="F672" s="17"/>
      <c r="G672" s="17"/>
      <c r="H672" s="17"/>
      <c r="I672" s="17"/>
      <c r="J672" s="17"/>
      <c r="K672" s="17"/>
      <c r="L672" s="17"/>
    </row>
    <row r="673">
      <c r="A673" s="11" t="str">
        <f t="shared" si="1"/>
        <v/>
      </c>
      <c r="B673" s="16"/>
      <c r="C673" s="16"/>
      <c r="D673" s="16"/>
      <c r="E673" s="16"/>
      <c r="F673" s="17"/>
      <c r="G673" s="17"/>
      <c r="H673" s="17"/>
      <c r="I673" s="17"/>
      <c r="J673" s="17"/>
      <c r="K673" s="17"/>
      <c r="L673" s="17"/>
    </row>
    <row r="674">
      <c r="A674" s="11" t="str">
        <f t="shared" si="1"/>
        <v/>
      </c>
      <c r="B674" s="16"/>
      <c r="C674" s="16"/>
      <c r="D674" s="16"/>
      <c r="E674" s="16"/>
      <c r="F674" s="17"/>
      <c r="G674" s="17"/>
      <c r="H674" s="17"/>
      <c r="I674" s="17"/>
      <c r="J674" s="17"/>
      <c r="K674" s="17"/>
      <c r="L674" s="17"/>
    </row>
    <row r="675">
      <c r="A675" s="11" t="str">
        <f t="shared" si="1"/>
        <v/>
      </c>
      <c r="B675" s="16"/>
      <c r="C675" s="16"/>
      <c r="D675" s="16"/>
      <c r="E675" s="16"/>
      <c r="F675" s="17"/>
      <c r="G675" s="17"/>
      <c r="H675" s="17"/>
      <c r="I675" s="17"/>
      <c r="J675" s="17"/>
      <c r="K675" s="17"/>
      <c r="L675" s="17"/>
    </row>
    <row r="676">
      <c r="A676" s="11" t="str">
        <f t="shared" si="1"/>
        <v/>
      </c>
      <c r="B676" s="16"/>
      <c r="C676" s="16"/>
      <c r="D676" s="16"/>
      <c r="E676" s="16"/>
      <c r="F676" s="17"/>
      <c r="G676" s="17"/>
      <c r="H676" s="17"/>
      <c r="I676" s="17"/>
      <c r="J676" s="17"/>
      <c r="K676" s="17"/>
      <c r="L676" s="17"/>
    </row>
    <row r="677">
      <c r="A677" s="11" t="str">
        <f t="shared" si="1"/>
        <v/>
      </c>
      <c r="B677" s="16"/>
      <c r="C677" s="16"/>
      <c r="D677" s="16"/>
      <c r="E677" s="16"/>
      <c r="F677" s="17"/>
      <c r="G677" s="17"/>
      <c r="H677" s="17"/>
      <c r="I677" s="17"/>
      <c r="J677" s="17"/>
      <c r="K677" s="17"/>
      <c r="L677" s="17"/>
    </row>
    <row r="678">
      <c r="A678" s="11" t="str">
        <f t="shared" si="1"/>
        <v/>
      </c>
      <c r="B678" s="16"/>
      <c r="C678" s="16"/>
      <c r="D678" s="16"/>
      <c r="E678" s="16"/>
      <c r="F678" s="17"/>
      <c r="G678" s="17"/>
      <c r="H678" s="17"/>
      <c r="I678" s="17"/>
      <c r="J678" s="17"/>
      <c r="K678" s="17"/>
      <c r="L678" s="17"/>
    </row>
    <row r="679">
      <c r="A679" s="11" t="str">
        <f t="shared" si="1"/>
        <v/>
      </c>
      <c r="B679" s="16"/>
      <c r="C679" s="16"/>
      <c r="D679" s="16"/>
      <c r="E679" s="16"/>
      <c r="F679" s="17"/>
      <c r="G679" s="17"/>
      <c r="H679" s="17"/>
      <c r="I679" s="17"/>
      <c r="J679" s="17"/>
      <c r="K679" s="17"/>
      <c r="L679" s="17"/>
    </row>
    <row r="680">
      <c r="A680" s="11" t="str">
        <f t="shared" si="1"/>
        <v/>
      </c>
      <c r="B680" s="16"/>
      <c r="C680" s="16"/>
      <c r="D680" s="16"/>
      <c r="E680" s="16"/>
      <c r="F680" s="17"/>
      <c r="G680" s="17"/>
      <c r="H680" s="17"/>
      <c r="I680" s="17"/>
      <c r="J680" s="17"/>
      <c r="K680" s="17"/>
      <c r="L680" s="17"/>
    </row>
    <row r="681">
      <c r="A681" s="11" t="str">
        <f t="shared" si="1"/>
        <v/>
      </c>
      <c r="B681" s="16"/>
      <c r="C681" s="16"/>
      <c r="D681" s="16"/>
      <c r="E681" s="16"/>
      <c r="F681" s="17"/>
      <c r="G681" s="17"/>
      <c r="H681" s="17"/>
      <c r="I681" s="17"/>
      <c r="J681" s="17"/>
      <c r="K681" s="17"/>
      <c r="L681" s="17"/>
    </row>
    <row r="682">
      <c r="A682" s="11" t="str">
        <f t="shared" si="1"/>
        <v/>
      </c>
      <c r="B682" s="16"/>
      <c r="C682" s="16"/>
      <c r="D682" s="16"/>
      <c r="E682" s="16"/>
      <c r="F682" s="17"/>
      <c r="G682" s="17"/>
      <c r="H682" s="17"/>
      <c r="I682" s="17"/>
      <c r="J682" s="17"/>
      <c r="K682" s="17"/>
      <c r="L682" s="17"/>
    </row>
    <row r="683">
      <c r="A683" s="11" t="str">
        <f t="shared" si="1"/>
        <v/>
      </c>
      <c r="B683" s="16"/>
      <c r="C683" s="16"/>
      <c r="D683" s="16"/>
      <c r="E683" s="16"/>
      <c r="F683" s="17"/>
      <c r="G683" s="17"/>
      <c r="H683" s="17"/>
      <c r="I683" s="17"/>
      <c r="J683" s="17"/>
      <c r="K683" s="17"/>
      <c r="L683" s="17"/>
    </row>
    <row r="684">
      <c r="A684" s="11" t="str">
        <f t="shared" si="1"/>
        <v/>
      </c>
      <c r="B684" s="16"/>
      <c r="C684" s="16"/>
      <c r="D684" s="16"/>
      <c r="E684" s="16"/>
      <c r="F684" s="17"/>
      <c r="G684" s="17"/>
      <c r="H684" s="17"/>
      <c r="I684" s="17"/>
      <c r="J684" s="17"/>
      <c r="K684" s="17"/>
      <c r="L684" s="17"/>
    </row>
    <row r="685">
      <c r="A685" s="11" t="str">
        <f t="shared" si="1"/>
        <v/>
      </c>
      <c r="B685" s="16"/>
      <c r="C685" s="16"/>
      <c r="D685" s="16"/>
      <c r="E685" s="16"/>
      <c r="F685" s="17"/>
      <c r="G685" s="17"/>
      <c r="H685" s="17"/>
      <c r="I685" s="17"/>
      <c r="J685" s="17"/>
      <c r="K685" s="17"/>
      <c r="L685" s="17"/>
    </row>
    <row r="686">
      <c r="A686" s="11" t="str">
        <f t="shared" si="1"/>
        <v/>
      </c>
      <c r="B686" s="16"/>
      <c r="C686" s="16"/>
      <c r="D686" s="16"/>
      <c r="E686" s="16"/>
      <c r="F686" s="17"/>
      <c r="G686" s="17"/>
      <c r="H686" s="17"/>
      <c r="I686" s="17"/>
      <c r="J686" s="17"/>
      <c r="K686" s="17"/>
      <c r="L686" s="17"/>
    </row>
    <row r="687">
      <c r="A687" s="11" t="str">
        <f t="shared" si="1"/>
        <v/>
      </c>
      <c r="B687" s="16"/>
      <c r="C687" s="16"/>
      <c r="D687" s="16"/>
      <c r="E687" s="16"/>
      <c r="F687" s="17"/>
      <c r="G687" s="17"/>
      <c r="H687" s="17"/>
      <c r="I687" s="17"/>
      <c r="J687" s="17"/>
      <c r="K687" s="17"/>
      <c r="L687" s="17"/>
    </row>
    <row r="688">
      <c r="A688" s="11" t="str">
        <f t="shared" si="1"/>
        <v/>
      </c>
      <c r="B688" s="16"/>
      <c r="C688" s="16"/>
      <c r="D688" s="16"/>
      <c r="E688" s="16"/>
      <c r="F688" s="17"/>
      <c r="G688" s="17"/>
      <c r="H688" s="17"/>
      <c r="I688" s="17"/>
      <c r="J688" s="17"/>
      <c r="K688" s="17"/>
      <c r="L688" s="17"/>
    </row>
    <row r="689">
      <c r="A689" s="11" t="str">
        <f t="shared" si="1"/>
        <v/>
      </c>
      <c r="B689" s="16"/>
      <c r="C689" s="16"/>
      <c r="D689" s="16"/>
      <c r="E689" s="16"/>
      <c r="F689" s="17"/>
      <c r="G689" s="17"/>
      <c r="H689" s="17"/>
      <c r="I689" s="17"/>
      <c r="J689" s="17"/>
      <c r="K689" s="17"/>
      <c r="L689" s="17"/>
    </row>
    <row r="690">
      <c r="A690" s="11" t="str">
        <f t="shared" si="1"/>
        <v/>
      </c>
      <c r="B690" s="16"/>
      <c r="C690" s="16"/>
      <c r="D690" s="16"/>
      <c r="E690" s="16"/>
      <c r="F690" s="17"/>
      <c r="G690" s="17"/>
      <c r="H690" s="17"/>
      <c r="I690" s="17"/>
      <c r="J690" s="17"/>
      <c r="K690" s="17"/>
      <c r="L690" s="17"/>
    </row>
    <row r="691">
      <c r="A691" s="11" t="str">
        <f t="shared" si="1"/>
        <v/>
      </c>
      <c r="B691" s="16"/>
      <c r="C691" s="16"/>
      <c r="D691" s="16"/>
      <c r="E691" s="16"/>
      <c r="F691" s="17"/>
      <c r="G691" s="17"/>
      <c r="H691" s="17"/>
      <c r="I691" s="17"/>
      <c r="J691" s="17"/>
      <c r="K691" s="17"/>
      <c r="L691" s="17"/>
    </row>
    <row r="692">
      <c r="A692" s="11" t="str">
        <f t="shared" si="1"/>
        <v/>
      </c>
      <c r="B692" s="16"/>
      <c r="C692" s="16"/>
      <c r="D692" s="16"/>
      <c r="E692" s="16"/>
      <c r="F692" s="17"/>
      <c r="G692" s="17"/>
      <c r="H692" s="17"/>
      <c r="I692" s="17"/>
      <c r="J692" s="17"/>
      <c r="K692" s="17"/>
      <c r="L692" s="17"/>
    </row>
    <row r="693">
      <c r="A693" s="11" t="str">
        <f t="shared" si="1"/>
        <v/>
      </c>
      <c r="B693" s="16"/>
      <c r="C693" s="16"/>
      <c r="D693" s="16"/>
      <c r="E693" s="16"/>
      <c r="F693" s="17"/>
      <c r="G693" s="17"/>
      <c r="H693" s="17"/>
      <c r="I693" s="17"/>
      <c r="J693" s="17"/>
      <c r="K693" s="17"/>
      <c r="L693" s="17"/>
    </row>
    <row r="694">
      <c r="A694" s="11" t="str">
        <f t="shared" si="1"/>
        <v/>
      </c>
      <c r="B694" s="16"/>
      <c r="C694" s="16"/>
      <c r="D694" s="16"/>
      <c r="E694" s="16"/>
      <c r="F694" s="17"/>
      <c r="G694" s="17"/>
      <c r="H694" s="17"/>
      <c r="I694" s="17"/>
      <c r="J694" s="17"/>
      <c r="K694" s="17"/>
      <c r="L694" s="17"/>
    </row>
    <row r="695">
      <c r="A695" s="11" t="str">
        <f t="shared" si="1"/>
        <v/>
      </c>
      <c r="B695" s="16"/>
      <c r="C695" s="16"/>
      <c r="D695" s="16"/>
      <c r="E695" s="16"/>
      <c r="F695" s="17"/>
      <c r="G695" s="17"/>
      <c r="H695" s="17"/>
      <c r="I695" s="17"/>
      <c r="J695" s="17"/>
      <c r="K695" s="17"/>
      <c r="L695" s="17"/>
    </row>
    <row r="696">
      <c r="A696" s="11" t="str">
        <f t="shared" si="1"/>
        <v/>
      </c>
      <c r="B696" s="16"/>
      <c r="C696" s="16"/>
      <c r="D696" s="16"/>
      <c r="E696" s="16"/>
      <c r="F696" s="17"/>
      <c r="G696" s="17"/>
      <c r="H696" s="17"/>
      <c r="I696" s="17"/>
      <c r="J696" s="17"/>
      <c r="K696" s="17"/>
      <c r="L696" s="17"/>
    </row>
    <row r="697">
      <c r="A697" s="11" t="str">
        <f t="shared" si="1"/>
        <v/>
      </c>
      <c r="B697" s="16"/>
      <c r="C697" s="16"/>
      <c r="D697" s="16"/>
      <c r="E697" s="16"/>
      <c r="F697" s="17"/>
      <c r="G697" s="17"/>
      <c r="H697" s="17"/>
      <c r="I697" s="17"/>
      <c r="J697" s="17"/>
      <c r="K697" s="17"/>
      <c r="L697" s="17"/>
    </row>
    <row r="698">
      <c r="A698" s="11" t="str">
        <f t="shared" si="1"/>
        <v/>
      </c>
      <c r="B698" s="16"/>
      <c r="C698" s="16"/>
      <c r="D698" s="16"/>
      <c r="E698" s="16"/>
      <c r="F698" s="17"/>
      <c r="G698" s="17"/>
      <c r="H698" s="17"/>
      <c r="I698" s="17"/>
      <c r="J698" s="17"/>
      <c r="K698" s="17"/>
      <c r="L698" s="17"/>
    </row>
    <row r="699">
      <c r="A699" s="11" t="str">
        <f t="shared" si="1"/>
        <v/>
      </c>
      <c r="B699" s="16"/>
      <c r="C699" s="16"/>
      <c r="D699" s="16"/>
      <c r="E699" s="16"/>
      <c r="F699" s="17"/>
      <c r="G699" s="17"/>
      <c r="H699" s="17"/>
      <c r="I699" s="17"/>
      <c r="J699" s="17"/>
      <c r="K699" s="17"/>
      <c r="L699" s="17"/>
    </row>
    <row r="700">
      <c r="A700" s="11" t="str">
        <f t="shared" si="1"/>
        <v/>
      </c>
      <c r="B700" s="16"/>
      <c r="C700" s="16"/>
      <c r="D700" s="16"/>
      <c r="E700" s="16"/>
      <c r="F700" s="17"/>
      <c r="G700" s="17"/>
      <c r="H700" s="17"/>
      <c r="I700" s="17"/>
      <c r="J700" s="17"/>
      <c r="K700" s="17"/>
      <c r="L700" s="17"/>
    </row>
    <row r="701">
      <c r="A701" s="11" t="str">
        <f t="shared" si="1"/>
        <v/>
      </c>
      <c r="B701" s="16"/>
      <c r="C701" s="16"/>
      <c r="D701" s="16"/>
      <c r="E701" s="16"/>
      <c r="F701" s="17"/>
      <c r="G701" s="17"/>
      <c r="H701" s="17"/>
      <c r="I701" s="17"/>
      <c r="J701" s="17"/>
      <c r="K701" s="17"/>
      <c r="L701" s="17"/>
    </row>
    <row r="702">
      <c r="A702" s="11" t="str">
        <f t="shared" si="1"/>
        <v/>
      </c>
      <c r="B702" s="16"/>
      <c r="C702" s="16"/>
      <c r="D702" s="16"/>
      <c r="E702" s="16"/>
      <c r="F702" s="17"/>
      <c r="G702" s="17"/>
      <c r="H702" s="17"/>
      <c r="I702" s="17"/>
      <c r="J702" s="17"/>
      <c r="K702" s="17"/>
      <c r="L702" s="17"/>
    </row>
    <row r="703">
      <c r="A703" s="11" t="str">
        <f t="shared" si="1"/>
        <v/>
      </c>
      <c r="B703" s="16"/>
      <c r="C703" s="16"/>
      <c r="D703" s="16"/>
      <c r="E703" s="16"/>
      <c r="F703" s="17"/>
      <c r="G703" s="17"/>
      <c r="H703" s="17"/>
      <c r="I703" s="17"/>
      <c r="J703" s="17"/>
      <c r="K703" s="17"/>
      <c r="L703" s="17"/>
    </row>
    <row r="704">
      <c r="A704" s="11" t="str">
        <f t="shared" si="1"/>
        <v/>
      </c>
      <c r="B704" s="16"/>
      <c r="C704" s="16"/>
      <c r="D704" s="16"/>
      <c r="E704" s="16"/>
      <c r="F704" s="17"/>
      <c r="G704" s="17"/>
      <c r="H704" s="17"/>
      <c r="I704" s="17"/>
      <c r="J704" s="17"/>
      <c r="K704" s="17"/>
      <c r="L704" s="17"/>
    </row>
    <row r="705">
      <c r="A705" s="11" t="str">
        <f t="shared" si="1"/>
        <v/>
      </c>
      <c r="B705" s="16"/>
      <c r="C705" s="16"/>
      <c r="D705" s="16"/>
      <c r="E705" s="16"/>
      <c r="F705" s="17"/>
      <c r="G705" s="17"/>
      <c r="H705" s="17"/>
      <c r="I705" s="17"/>
      <c r="J705" s="17"/>
      <c r="K705" s="17"/>
      <c r="L705" s="17"/>
    </row>
    <row r="706">
      <c r="A706" s="11" t="str">
        <f t="shared" si="1"/>
        <v/>
      </c>
      <c r="B706" s="16"/>
      <c r="C706" s="16"/>
      <c r="D706" s="16"/>
      <c r="E706" s="16"/>
      <c r="F706" s="17"/>
      <c r="G706" s="17"/>
      <c r="H706" s="17"/>
      <c r="I706" s="17"/>
      <c r="J706" s="17"/>
      <c r="K706" s="17"/>
      <c r="L706" s="17"/>
    </row>
    <row r="707">
      <c r="A707" s="11" t="str">
        <f t="shared" si="1"/>
        <v/>
      </c>
      <c r="B707" s="16"/>
      <c r="C707" s="16"/>
      <c r="D707" s="16"/>
      <c r="E707" s="16"/>
      <c r="F707" s="17"/>
      <c r="G707" s="17"/>
      <c r="H707" s="17"/>
      <c r="I707" s="17"/>
      <c r="J707" s="17"/>
      <c r="K707" s="17"/>
      <c r="L707" s="17"/>
    </row>
    <row r="708">
      <c r="A708" s="11" t="str">
        <f t="shared" si="1"/>
        <v/>
      </c>
      <c r="B708" s="16"/>
      <c r="C708" s="16"/>
      <c r="D708" s="16"/>
      <c r="E708" s="16"/>
      <c r="F708" s="17"/>
      <c r="G708" s="17"/>
      <c r="H708" s="17"/>
      <c r="I708" s="17"/>
      <c r="J708" s="17"/>
      <c r="K708" s="17"/>
      <c r="L708" s="17"/>
    </row>
    <row r="709">
      <c r="A709" s="11" t="str">
        <f t="shared" si="1"/>
        <v/>
      </c>
      <c r="B709" s="16"/>
      <c r="C709" s="16"/>
      <c r="D709" s="16"/>
      <c r="E709" s="16"/>
      <c r="F709" s="17"/>
      <c r="G709" s="17"/>
      <c r="H709" s="17"/>
      <c r="I709" s="17"/>
      <c r="J709" s="17"/>
      <c r="K709" s="17"/>
      <c r="L709" s="17"/>
    </row>
    <row r="710">
      <c r="A710" s="11" t="str">
        <f t="shared" si="1"/>
        <v/>
      </c>
      <c r="B710" s="16"/>
      <c r="C710" s="16"/>
      <c r="D710" s="16"/>
      <c r="E710" s="16"/>
      <c r="F710" s="17"/>
      <c r="G710" s="17"/>
      <c r="H710" s="17"/>
      <c r="I710" s="17"/>
      <c r="J710" s="17"/>
      <c r="K710" s="17"/>
      <c r="L710" s="17"/>
    </row>
    <row r="711">
      <c r="A711" s="11" t="str">
        <f t="shared" si="1"/>
        <v/>
      </c>
      <c r="B711" s="16"/>
      <c r="C711" s="16"/>
      <c r="D711" s="16"/>
      <c r="E711" s="16"/>
      <c r="F711" s="17"/>
      <c r="G711" s="17"/>
      <c r="H711" s="17"/>
      <c r="I711" s="17"/>
      <c r="J711" s="17"/>
      <c r="K711" s="17"/>
      <c r="L711" s="17"/>
    </row>
    <row r="712">
      <c r="A712" s="11" t="str">
        <f t="shared" si="1"/>
        <v/>
      </c>
      <c r="B712" s="16"/>
      <c r="C712" s="16"/>
      <c r="D712" s="16"/>
      <c r="E712" s="16"/>
      <c r="F712" s="17"/>
      <c r="G712" s="17"/>
      <c r="H712" s="17"/>
      <c r="I712" s="17"/>
      <c r="J712" s="17"/>
      <c r="K712" s="17"/>
      <c r="L712" s="17"/>
    </row>
    <row r="713">
      <c r="A713" s="11" t="str">
        <f t="shared" si="1"/>
        <v/>
      </c>
      <c r="B713" s="16"/>
      <c r="C713" s="16"/>
      <c r="D713" s="16"/>
      <c r="E713" s="16"/>
      <c r="F713" s="17"/>
      <c r="G713" s="17"/>
      <c r="H713" s="17"/>
      <c r="I713" s="17"/>
      <c r="J713" s="17"/>
      <c r="K713" s="17"/>
      <c r="L713" s="17"/>
    </row>
    <row r="714">
      <c r="A714" s="11" t="str">
        <f t="shared" si="1"/>
        <v/>
      </c>
      <c r="B714" s="16"/>
      <c r="C714" s="16"/>
      <c r="D714" s="16"/>
      <c r="E714" s="16"/>
      <c r="F714" s="17"/>
      <c r="G714" s="17"/>
      <c r="H714" s="17"/>
      <c r="I714" s="17"/>
      <c r="J714" s="17"/>
      <c r="K714" s="17"/>
      <c r="L714" s="17"/>
    </row>
    <row r="715">
      <c r="A715" s="11" t="str">
        <f t="shared" si="1"/>
        <v/>
      </c>
      <c r="B715" s="16"/>
      <c r="C715" s="16"/>
      <c r="D715" s="16"/>
      <c r="E715" s="16"/>
      <c r="F715" s="17"/>
      <c r="G715" s="17"/>
      <c r="H715" s="17"/>
      <c r="I715" s="17"/>
      <c r="J715" s="17"/>
      <c r="K715" s="17"/>
      <c r="L715" s="17"/>
    </row>
    <row r="716">
      <c r="A716" s="11" t="str">
        <f t="shared" si="1"/>
        <v/>
      </c>
      <c r="B716" s="16"/>
      <c r="C716" s="16"/>
      <c r="D716" s="16"/>
      <c r="E716" s="16"/>
      <c r="F716" s="17"/>
      <c r="G716" s="17"/>
      <c r="H716" s="17"/>
      <c r="I716" s="17"/>
      <c r="J716" s="17"/>
      <c r="K716" s="17"/>
      <c r="L716" s="17"/>
    </row>
    <row r="717">
      <c r="A717" s="11" t="str">
        <f t="shared" si="1"/>
        <v/>
      </c>
      <c r="B717" s="16"/>
      <c r="C717" s="16"/>
      <c r="D717" s="16"/>
      <c r="E717" s="16"/>
      <c r="F717" s="17"/>
      <c r="G717" s="17"/>
      <c r="H717" s="17"/>
      <c r="I717" s="17"/>
      <c r="J717" s="17"/>
      <c r="K717" s="17"/>
      <c r="L717" s="17"/>
    </row>
    <row r="718">
      <c r="A718" s="11" t="str">
        <f t="shared" si="1"/>
        <v/>
      </c>
      <c r="B718" s="16"/>
      <c r="C718" s="16"/>
      <c r="D718" s="16"/>
      <c r="E718" s="16"/>
      <c r="F718" s="17"/>
      <c r="G718" s="17"/>
      <c r="H718" s="17"/>
      <c r="I718" s="17"/>
      <c r="J718" s="17"/>
      <c r="K718" s="17"/>
      <c r="L718" s="17"/>
    </row>
    <row r="719">
      <c r="A719" s="11" t="str">
        <f t="shared" si="1"/>
        <v/>
      </c>
      <c r="B719" s="16"/>
      <c r="C719" s="16"/>
      <c r="D719" s="16"/>
      <c r="E719" s="16"/>
      <c r="F719" s="17"/>
      <c r="G719" s="17"/>
      <c r="H719" s="17"/>
      <c r="I719" s="17"/>
      <c r="J719" s="17"/>
      <c r="K719" s="17"/>
      <c r="L719" s="17"/>
    </row>
    <row r="720">
      <c r="A720" s="11" t="str">
        <f t="shared" si="1"/>
        <v/>
      </c>
      <c r="B720" s="16"/>
      <c r="C720" s="16"/>
      <c r="D720" s="16"/>
      <c r="E720" s="16"/>
      <c r="F720" s="17"/>
      <c r="G720" s="17"/>
      <c r="H720" s="17"/>
      <c r="I720" s="17"/>
      <c r="J720" s="17"/>
      <c r="K720" s="17"/>
      <c r="L720" s="17"/>
    </row>
    <row r="721">
      <c r="A721" s="11" t="str">
        <f t="shared" si="1"/>
        <v/>
      </c>
      <c r="B721" s="16"/>
      <c r="C721" s="16"/>
      <c r="D721" s="16"/>
      <c r="E721" s="16"/>
      <c r="F721" s="17"/>
      <c r="G721" s="17"/>
      <c r="H721" s="17"/>
      <c r="I721" s="17"/>
      <c r="J721" s="17"/>
      <c r="K721" s="17"/>
      <c r="L721" s="17"/>
    </row>
    <row r="722">
      <c r="A722" s="11" t="str">
        <f t="shared" si="1"/>
        <v/>
      </c>
      <c r="B722" s="16"/>
      <c r="C722" s="16"/>
      <c r="D722" s="16"/>
      <c r="E722" s="16"/>
      <c r="F722" s="17"/>
      <c r="G722" s="17"/>
      <c r="H722" s="17"/>
      <c r="I722" s="17"/>
      <c r="J722" s="17"/>
      <c r="K722" s="17"/>
      <c r="L722" s="17"/>
    </row>
    <row r="723">
      <c r="A723" s="11" t="str">
        <f t="shared" si="1"/>
        <v/>
      </c>
      <c r="B723" s="16"/>
      <c r="C723" s="16"/>
      <c r="D723" s="16"/>
      <c r="E723" s="16"/>
      <c r="F723" s="17"/>
      <c r="G723" s="17"/>
      <c r="H723" s="17"/>
      <c r="I723" s="17"/>
      <c r="J723" s="17"/>
      <c r="K723" s="17"/>
      <c r="L723" s="17"/>
    </row>
    <row r="724">
      <c r="A724" s="11" t="str">
        <f t="shared" si="1"/>
        <v/>
      </c>
      <c r="B724" s="16"/>
      <c r="C724" s="16"/>
      <c r="D724" s="16"/>
      <c r="E724" s="16"/>
      <c r="F724" s="17"/>
      <c r="G724" s="17"/>
      <c r="H724" s="17"/>
      <c r="I724" s="17"/>
      <c r="J724" s="17"/>
      <c r="K724" s="17"/>
      <c r="L724" s="17"/>
    </row>
    <row r="725">
      <c r="A725" s="11" t="str">
        <f t="shared" si="1"/>
        <v/>
      </c>
      <c r="B725" s="16"/>
      <c r="C725" s="16"/>
      <c r="D725" s="16"/>
      <c r="E725" s="16"/>
      <c r="F725" s="17"/>
      <c r="G725" s="17"/>
      <c r="H725" s="17"/>
      <c r="I725" s="17"/>
      <c r="J725" s="17"/>
      <c r="K725" s="17"/>
      <c r="L725" s="17"/>
    </row>
    <row r="726">
      <c r="A726" s="11" t="str">
        <f t="shared" si="1"/>
        <v/>
      </c>
      <c r="B726" s="16"/>
      <c r="C726" s="16"/>
      <c r="D726" s="16"/>
      <c r="E726" s="16"/>
      <c r="F726" s="17"/>
      <c r="G726" s="17"/>
      <c r="H726" s="17"/>
      <c r="I726" s="17"/>
      <c r="J726" s="17"/>
      <c r="K726" s="17"/>
      <c r="L726" s="17"/>
    </row>
    <row r="727">
      <c r="A727" s="11" t="str">
        <f t="shared" si="1"/>
        <v/>
      </c>
      <c r="B727" s="16"/>
      <c r="C727" s="16"/>
      <c r="D727" s="16"/>
      <c r="E727" s="16"/>
      <c r="F727" s="17"/>
      <c r="G727" s="17"/>
      <c r="H727" s="17"/>
      <c r="I727" s="17"/>
      <c r="J727" s="17"/>
      <c r="K727" s="17"/>
      <c r="L727" s="17"/>
    </row>
    <row r="728">
      <c r="A728" s="11" t="str">
        <f t="shared" si="1"/>
        <v/>
      </c>
      <c r="B728" s="16"/>
      <c r="C728" s="16"/>
      <c r="D728" s="16"/>
      <c r="E728" s="16"/>
      <c r="F728" s="17"/>
      <c r="G728" s="17"/>
      <c r="H728" s="17"/>
      <c r="I728" s="17"/>
      <c r="J728" s="17"/>
      <c r="K728" s="17"/>
      <c r="L728" s="17"/>
    </row>
    <row r="729">
      <c r="A729" s="11" t="str">
        <f t="shared" si="1"/>
        <v/>
      </c>
      <c r="B729" s="16"/>
      <c r="C729" s="16"/>
      <c r="D729" s="16"/>
      <c r="E729" s="16"/>
      <c r="F729" s="17"/>
      <c r="G729" s="17"/>
      <c r="H729" s="17"/>
      <c r="I729" s="17"/>
      <c r="J729" s="17"/>
      <c r="K729" s="17"/>
      <c r="L729" s="17"/>
    </row>
    <row r="730">
      <c r="A730" s="11" t="str">
        <f t="shared" si="1"/>
        <v/>
      </c>
      <c r="B730" s="16"/>
      <c r="C730" s="16"/>
      <c r="D730" s="16"/>
      <c r="E730" s="16"/>
      <c r="F730" s="17"/>
      <c r="G730" s="17"/>
      <c r="H730" s="17"/>
      <c r="I730" s="17"/>
      <c r="J730" s="17"/>
      <c r="K730" s="17"/>
      <c r="L730" s="17"/>
    </row>
    <row r="731">
      <c r="A731" s="11" t="str">
        <f t="shared" si="1"/>
        <v/>
      </c>
      <c r="B731" s="16"/>
      <c r="C731" s="16"/>
      <c r="D731" s="16"/>
      <c r="E731" s="16"/>
      <c r="F731" s="17"/>
      <c r="G731" s="17"/>
      <c r="H731" s="17"/>
      <c r="I731" s="17"/>
      <c r="J731" s="17"/>
      <c r="K731" s="17"/>
      <c r="L731" s="17"/>
    </row>
    <row r="732">
      <c r="A732" s="11" t="str">
        <f t="shared" si="1"/>
        <v/>
      </c>
      <c r="B732" s="16"/>
      <c r="C732" s="16"/>
      <c r="D732" s="16"/>
      <c r="E732" s="16"/>
      <c r="F732" s="17"/>
      <c r="G732" s="17"/>
      <c r="H732" s="17"/>
      <c r="I732" s="17"/>
      <c r="J732" s="17"/>
      <c r="K732" s="17"/>
      <c r="L732" s="17"/>
    </row>
    <row r="733">
      <c r="A733" s="11" t="str">
        <f t="shared" si="1"/>
        <v/>
      </c>
      <c r="B733" s="16"/>
      <c r="C733" s="16"/>
      <c r="D733" s="16"/>
      <c r="E733" s="16"/>
      <c r="F733" s="17"/>
      <c r="G733" s="17"/>
      <c r="H733" s="17"/>
      <c r="I733" s="17"/>
      <c r="J733" s="17"/>
      <c r="K733" s="17"/>
      <c r="L733" s="17"/>
    </row>
    <row r="734">
      <c r="A734" s="11" t="str">
        <f t="shared" si="1"/>
        <v/>
      </c>
      <c r="B734" s="16"/>
      <c r="C734" s="16"/>
      <c r="D734" s="16"/>
      <c r="E734" s="16"/>
      <c r="F734" s="17"/>
      <c r="G734" s="17"/>
      <c r="H734" s="17"/>
      <c r="I734" s="17"/>
      <c r="J734" s="17"/>
      <c r="K734" s="17"/>
      <c r="L734" s="17"/>
    </row>
    <row r="735">
      <c r="A735" s="11" t="str">
        <f t="shared" si="1"/>
        <v/>
      </c>
      <c r="B735" s="16"/>
      <c r="C735" s="16"/>
      <c r="D735" s="16"/>
      <c r="E735" s="16"/>
      <c r="F735" s="17"/>
      <c r="G735" s="17"/>
      <c r="H735" s="17"/>
      <c r="I735" s="17"/>
      <c r="J735" s="17"/>
      <c r="K735" s="17"/>
      <c r="L735" s="17"/>
    </row>
    <row r="736">
      <c r="A736" s="11" t="str">
        <f t="shared" si="1"/>
        <v/>
      </c>
      <c r="B736" s="16"/>
      <c r="C736" s="16"/>
      <c r="D736" s="16"/>
      <c r="E736" s="16"/>
      <c r="F736" s="17"/>
      <c r="G736" s="17"/>
      <c r="H736" s="17"/>
      <c r="I736" s="17"/>
      <c r="J736" s="17"/>
      <c r="K736" s="17"/>
      <c r="L736" s="17"/>
    </row>
    <row r="737">
      <c r="A737" s="11" t="str">
        <f t="shared" si="1"/>
        <v/>
      </c>
      <c r="B737" s="16"/>
      <c r="C737" s="16"/>
      <c r="D737" s="16"/>
      <c r="E737" s="16"/>
      <c r="F737" s="17"/>
      <c r="G737" s="17"/>
      <c r="H737" s="17"/>
      <c r="I737" s="17"/>
      <c r="J737" s="17"/>
      <c r="K737" s="17"/>
      <c r="L737" s="17"/>
    </row>
    <row r="738">
      <c r="A738" s="11" t="str">
        <f t="shared" si="1"/>
        <v/>
      </c>
      <c r="B738" s="16"/>
      <c r="C738" s="16"/>
      <c r="D738" s="16"/>
      <c r="E738" s="16"/>
      <c r="F738" s="17"/>
      <c r="G738" s="17"/>
      <c r="H738" s="17"/>
      <c r="I738" s="17"/>
      <c r="J738" s="17"/>
      <c r="K738" s="17"/>
      <c r="L738" s="17"/>
    </row>
    <row r="739">
      <c r="A739" s="11" t="str">
        <f t="shared" si="1"/>
        <v/>
      </c>
      <c r="B739" s="16"/>
      <c r="C739" s="16"/>
      <c r="D739" s="16"/>
      <c r="E739" s="16"/>
      <c r="F739" s="17"/>
      <c r="G739" s="17"/>
      <c r="H739" s="17"/>
      <c r="I739" s="17"/>
      <c r="J739" s="17"/>
      <c r="K739" s="17"/>
      <c r="L739" s="17"/>
    </row>
    <row r="740">
      <c r="A740" s="11" t="str">
        <f t="shared" si="1"/>
        <v/>
      </c>
      <c r="B740" s="16"/>
      <c r="C740" s="16"/>
      <c r="D740" s="16"/>
      <c r="E740" s="16"/>
      <c r="F740" s="17"/>
      <c r="G740" s="17"/>
      <c r="H740" s="17"/>
      <c r="I740" s="17"/>
      <c r="J740" s="17"/>
      <c r="K740" s="17"/>
      <c r="L740" s="17"/>
    </row>
    <row r="741">
      <c r="A741" s="11" t="str">
        <f t="shared" si="1"/>
        <v/>
      </c>
      <c r="B741" s="16"/>
      <c r="C741" s="16"/>
      <c r="D741" s="16"/>
      <c r="E741" s="16"/>
      <c r="F741" s="17"/>
      <c r="G741" s="17"/>
      <c r="H741" s="17"/>
      <c r="I741" s="17"/>
      <c r="J741" s="17"/>
      <c r="K741" s="17"/>
      <c r="L741" s="17"/>
    </row>
    <row r="742">
      <c r="A742" s="11" t="str">
        <f t="shared" si="1"/>
        <v/>
      </c>
      <c r="B742" s="16"/>
      <c r="C742" s="16"/>
      <c r="D742" s="16"/>
      <c r="E742" s="16"/>
      <c r="F742" s="17"/>
      <c r="G742" s="17"/>
      <c r="H742" s="17"/>
      <c r="I742" s="17"/>
      <c r="J742" s="17"/>
      <c r="K742" s="17"/>
      <c r="L742" s="17"/>
    </row>
    <row r="743">
      <c r="A743" s="11" t="str">
        <f t="shared" si="1"/>
        <v/>
      </c>
      <c r="B743" s="16"/>
      <c r="C743" s="16"/>
      <c r="D743" s="16"/>
      <c r="E743" s="16"/>
      <c r="F743" s="17"/>
      <c r="G743" s="17"/>
      <c r="H743" s="17"/>
      <c r="I743" s="17"/>
      <c r="J743" s="17"/>
      <c r="K743" s="17"/>
      <c r="L743" s="17"/>
    </row>
    <row r="744">
      <c r="A744" s="11" t="str">
        <f t="shared" si="1"/>
        <v/>
      </c>
      <c r="B744" s="16"/>
      <c r="C744" s="16"/>
      <c r="D744" s="16"/>
      <c r="E744" s="16"/>
      <c r="F744" s="17"/>
      <c r="G744" s="17"/>
      <c r="H744" s="17"/>
      <c r="I744" s="17"/>
      <c r="J744" s="17"/>
      <c r="K744" s="17"/>
      <c r="L744" s="17"/>
    </row>
    <row r="745">
      <c r="A745" s="11" t="str">
        <f t="shared" si="1"/>
        <v/>
      </c>
      <c r="B745" s="16"/>
      <c r="C745" s="16"/>
      <c r="D745" s="16"/>
      <c r="E745" s="16"/>
      <c r="F745" s="17"/>
      <c r="G745" s="17"/>
      <c r="H745" s="17"/>
      <c r="I745" s="17"/>
      <c r="J745" s="17"/>
      <c r="K745" s="17"/>
      <c r="L745" s="17"/>
    </row>
    <row r="746">
      <c r="A746" s="11" t="str">
        <f t="shared" si="1"/>
        <v/>
      </c>
      <c r="B746" s="16"/>
      <c r="C746" s="16"/>
      <c r="D746" s="16"/>
      <c r="E746" s="16"/>
      <c r="F746" s="17"/>
      <c r="G746" s="17"/>
      <c r="H746" s="17"/>
      <c r="I746" s="17"/>
      <c r="J746" s="17"/>
      <c r="K746" s="17"/>
      <c r="L746" s="17"/>
    </row>
    <row r="747">
      <c r="A747" s="11" t="str">
        <f t="shared" si="1"/>
        <v/>
      </c>
      <c r="B747" s="16"/>
      <c r="C747" s="16"/>
      <c r="D747" s="16"/>
      <c r="E747" s="16"/>
      <c r="F747" s="17"/>
      <c r="G747" s="17"/>
      <c r="H747" s="17"/>
      <c r="I747" s="17"/>
      <c r="J747" s="17"/>
      <c r="K747" s="17"/>
      <c r="L747" s="17"/>
    </row>
    <row r="748">
      <c r="A748" s="11" t="str">
        <f t="shared" si="1"/>
        <v/>
      </c>
      <c r="B748" s="16"/>
      <c r="C748" s="16"/>
      <c r="D748" s="16"/>
      <c r="E748" s="16"/>
      <c r="F748" s="17"/>
      <c r="G748" s="17"/>
      <c r="H748" s="17"/>
      <c r="I748" s="17"/>
      <c r="J748" s="17"/>
      <c r="K748" s="17"/>
      <c r="L748" s="17"/>
    </row>
    <row r="749">
      <c r="A749" s="11" t="str">
        <f t="shared" si="1"/>
        <v/>
      </c>
      <c r="B749" s="16"/>
      <c r="C749" s="16"/>
      <c r="D749" s="16"/>
      <c r="E749" s="16"/>
      <c r="F749" s="17"/>
      <c r="G749" s="17"/>
      <c r="H749" s="17"/>
      <c r="I749" s="17"/>
      <c r="J749" s="17"/>
      <c r="K749" s="17"/>
      <c r="L749" s="17"/>
    </row>
    <row r="750">
      <c r="A750" s="11" t="str">
        <f t="shared" si="1"/>
        <v/>
      </c>
      <c r="B750" s="16"/>
      <c r="C750" s="16"/>
      <c r="D750" s="16"/>
      <c r="E750" s="16"/>
      <c r="F750" s="17"/>
      <c r="G750" s="17"/>
      <c r="H750" s="17"/>
      <c r="I750" s="17"/>
      <c r="J750" s="17"/>
      <c r="K750" s="17"/>
      <c r="L750" s="17"/>
    </row>
    <row r="751">
      <c r="A751" s="11" t="str">
        <f t="shared" si="1"/>
        <v/>
      </c>
      <c r="B751" s="16"/>
      <c r="C751" s="16"/>
      <c r="D751" s="16"/>
      <c r="E751" s="16"/>
      <c r="F751" s="17"/>
      <c r="G751" s="17"/>
      <c r="H751" s="17"/>
      <c r="I751" s="17"/>
      <c r="J751" s="17"/>
      <c r="K751" s="17"/>
      <c r="L751" s="17"/>
    </row>
    <row r="752">
      <c r="A752" s="11" t="str">
        <f t="shared" si="1"/>
        <v/>
      </c>
      <c r="B752" s="16"/>
      <c r="C752" s="16"/>
      <c r="D752" s="16"/>
      <c r="E752" s="16"/>
      <c r="F752" s="17"/>
      <c r="G752" s="17"/>
      <c r="H752" s="17"/>
      <c r="I752" s="17"/>
      <c r="J752" s="17"/>
      <c r="K752" s="17"/>
      <c r="L752" s="17"/>
    </row>
    <row r="753">
      <c r="A753" s="11" t="str">
        <f t="shared" si="1"/>
        <v/>
      </c>
      <c r="B753" s="16"/>
      <c r="C753" s="16"/>
      <c r="D753" s="16"/>
      <c r="E753" s="16"/>
      <c r="F753" s="17"/>
      <c r="G753" s="17"/>
      <c r="H753" s="17"/>
      <c r="I753" s="17"/>
      <c r="J753" s="17"/>
      <c r="K753" s="17"/>
      <c r="L753" s="17"/>
    </row>
    <row r="754">
      <c r="A754" s="11" t="str">
        <f t="shared" si="1"/>
        <v/>
      </c>
      <c r="B754" s="16"/>
      <c r="C754" s="16"/>
      <c r="D754" s="16"/>
      <c r="E754" s="16"/>
      <c r="F754" s="17"/>
      <c r="G754" s="17"/>
      <c r="H754" s="17"/>
      <c r="I754" s="17"/>
      <c r="J754" s="17"/>
      <c r="K754" s="17"/>
      <c r="L754" s="17"/>
    </row>
    <row r="755">
      <c r="A755" s="11" t="str">
        <f t="shared" si="1"/>
        <v/>
      </c>
      <c r="B755" s="16"/>
      <c r="C755" s="16"/>
      <c r="D755" s="16"/>
      <c r="E755" s="16"/>
      <c r="F755" s="17"/>
      <c r="G755" s="17"/>
      <c r="H755" s="17"/>
      <c r="I755" s="17"/>
      <c r="J755" s="17"/>
      <c r="K755" s="17"/>
      <c r="L755" s="17"/>
    </row>
    <row r="756">
      <c r="A756" s="11" t="str">
        <f t="shared" si="1"/>
        <v/>
      </c>
      <c r="B756" s="16"/>
      <c r="C756" s="16"/>
      <c r="D756" s="16"/>
      <c r="E756" s="16"/>
      <c r="F756" s="17"/>
      <c r="G756" s="17"/>
      <c r="H756" s="17"/>
      <c r="I756" s="17"/>
      <c r="J756" s="17"/>
      <c r="K756" s="17"/>
      <c r="L756" s="17"/>
    </row>
    <row r="757">
      <c r="A757" s="11" t="str">
        <f t="shared" si="1"/>
        <v/>
      </c>
      <c r="B757" s="16"/>
      <c r="C757" s="16"/>
      <c r="D757" s="16"/>
      <c r="E757" s="16"/>
      <c r="F757" s="17"/>
      <c r="G757" s="17"/>
      <c r="H757" s="17"/>
      <c r="I757" s="17"/>
      <c r="J757" s="17"/>
      <c r="K757" s="17"/>
      <c r="L757" s="17"/>
    </row>
    <row r="758">
      <c r="A758" s="11" t="str">
        <f t="shared" si="1"/>
        <v/>
      </c>
      <c r="B758" s="16"/>
      <c r="C758" s="16"/>
      <c r="D758" s="16"/>
      <c r="E758" s="16"/>
      <c r="F758" s="17"/>
      <c r="G758" s="17"/>
      <c r="H758" s="17"/>
      <c r="I758" s="17"/>
      <c r="J758" s="17"/>
      <c r="K758" s="17"/>
      <c r="L758" s="17"/>
    </row>
    <row r="759">
      <c r="A759" s="11" t="str">
        <f t="shared" si="1"/>
        <v/>
      </c>
      <c r="B759" s="16"/>
      <c r="C759" s="16"/>
      <c r="D759" s="16"/>
      <c r="E759" s="16"/>
      <c r="F759" s="17"/>
      <c r="G759" s="17"/>
      <c r="H759" s="17"/>
      <c r="I759" s="17"/>
      <c r="J759" s="17"/>
      <c r="K759" s="17"/>
      <c r="L759" s="17"/>
    </row>
    <row r="760">
      <c r="A760" s="11" t="str">
        <f t="shared" si="1"/>
        <v/>
      </c>
      <c r="B760" s="16"/>
      <c r="C760" s="16"/>
      <c r="D760" s="16"/>
      <c r="E760" s="16"/>
      <c r="F760" s="17"/>
      <c r="G760" s="17"/>
      <c r="H760" s="17"/>
      <c r="I760" s="17"/>
      <c r="J760" s="17"/>
      <c r="K760" s="17"/>
      <c r="L760" s="17"/>
    </row>
    <row r="761">
      <c r="A761" s="11" t="str">
        <f t="shared" si="1"/>
        <v/>
      </c>
      <c r="B761" s="16"/>
      <c r="C761" s="16"/>
      <c r="D761" s="16"/>
      <c r="E761" s="16"/>
      <c r="F761" s="17"/>
      <c r="G761" s="17"/>
      <c r="H761" s="17"/>
      <c r="I761" s="17"/>
      <c r="J761" s="17"/>
      <c r="K761" s="17"/>
      <c r="L761" s="17"/>
    </row>
    <row r="762">
      <c r="A762" s="11" t="str">
        <f t="shared" si="1"/>
        <v/>
      </c>
      <c r="B762" s="16"/>
      <c r="C762" s="16"/>
      <c r="D762" s="16"/>
      <c r="E762" s="16"/>
      <c r="F762" s="17"/>
      <c r="G762" s="17"/>
      <c r="H762" s="17"/>
      <c r="I762" s="17"/>
      <c r="J762" s="17"/>
      <c r="K762" s="17"/>
      <c r="L762" s="17"/>
    </row>
    <row r="763">
      <c r="A763" s="11" t="str">
        <f t="shared" si="1"/>
        <v/>
      </c>
      <c r="B763" s="16"/>
      <c r="C763" s="16"/>
      <c r="D763" s="16"/>
      <c r="E763" s="16"/>
      <c r="F763" s="17"/>
      <c r="G763" s="17"/>
      <c r="H763" s="17"/>
      <c r="I763" s="17"/>
      <c r="J763" s="17"/>
      <c r="K763" s="17"/>
      <c r="L763" s="17"/>
    </row>
    <row r="764">
      <c r="A764" s="11" t="str">
        <f t="shared" si="1"/>
        <v/>
      </c>
      <c r="B764" s="16"/>
      <c r="C764" s="16"/>
      <c r="D764" s="16"/>
      <c r="E764" s="16"/>
      <c r="F764" s="17"/>
      <c r="G764" s="17"/>
      <c r="H764" s="17"/>
      <c r="I764" s="17"/>
      <c r="J764" s="17"/>
      <c r="K764" s="17"/>
      <c r="L764" s="17"/>
    </row>
    <row r="765">
      <c r="A765" s="11" t="str">
        <f t="shared" si="1"/>
        <v/>
      </c>
      <c r="B765" s="16"/>
      <c r="C765" s="16"/>
      <c r="D765" s="16"/>
      <c r="E765" s="16"/>
      <c r="F765" s="17"/>
      <c r="G765" s="17"/>
      <c r="H765" s="17"/>
      <c r="I765" s="17"/>
      <c r="J765" s="17"/>
      <c r="K765" s="17"/>
      <c r="L765" s="17"/>
    </row>
    <row r="766">
      <c r="A766" s="11" t="str">
        <f t="shared" si="1"/>
        <v/>
      </c>
      <c r="B766" s="16"/>
      <c r="C766" s="16"/>
      <c r="D766" s="16"/>
      <c r="E766" s="16"/>
      <c r="F766" s="17"/>
      <c r="G766" s="17"/>
      <c r="H766" s="17"/>
      <c r="I766" s="17"/>
      <c r="J766" s="17"/>
      <c r="K766" s="17"/>
      <c r="L766" s="17"/>
    </row>
    <row r="767">
      <c r="A767" s="11" t="str">
        <f t="shared" si="1"/>
        <v/>
      </c>
      <c r="B767" s="16"/>
      <c r="C767" s="16"/>
      <c r="D767" s="16"/>
      <c r="E767" s="16"/>
      <c r="F767" s="17"/>
      <c r="G767" s="17"/>
      <c r="H767" s="17"/>
      <c r="I767" s="17"/>
      <c r="J767" s="17"/>
      <c r="K767" s="17"/>
      <c r="L767" s="17"/>
    </row>
    <row r="768">
      <c r="A768" s="11" t="str">
        <f t="shared" si="1"/>
        <v/>
      </c>
      <c r="B768" s="16"/>
      <c r="C768" s="16"/>
      <c r="D768" s="16"/>
      <c r="E768" s="16"/>
      <c r="F768" s="17"/>
      <c r="G768" s="17"/>
      <c r="H768" s="17"/>
      <c r="I768" s="17"/>
      <c r="J768" s="17"/>
      <c r="K768" s="17"/>
      <c r="L768" s="17"/>
    </row>
    <row r="769">
      <c r="A769" s="11" t="str">
        <f t="shared" si="1"/>
        <v/>
      </c>
      <c r="B769" s="16"/>
      <c r="C769" s="16"/>
      <c r="D769" s="16"/>
      <c r="E769" s="16"/>
      <c r="F769" s="17"/>
      <c r="G769" s="17"/>
      <c r="H769" s="17"/>
      <c r="I769" s="17"/>
      <c r="J769" s="17"/>
      <c r="K769" s="17"/>
      <c r="L769" s="17"/>
    </row>
    <row r="770">
      <c r="A770" s="11" t="str">
        <f t="shared" si="1"/>
        <v/>
      </c>
      <c r="B770" s="16"/>
      <c r="C770" s="16"/>
      <c r="D770" s="16"/>
      <c r="E770" s="16"/>
      <c r="F770" s="17"/>
      <c r="G770" s="17"/>
      <c r="H770" s="17"/>
      <c r="I770" s="17"/>
      <c r="J770" s="17"/>
      <c r="K770" s="17"/>
      <c r="L770" s="17"/>
    </row>
    <row r="771">
      <c r="A771" s="11" t="str">
        <f t="shared" si="1"/>
        <v/>
      </c>
      <c r="B771" s="16"/>
      <c r="C771" s="16"/>
      <c r="D771" s="16"/>
      <c r="E771" s="16"/>
      <c r="F771" s="17"/>
      <c r="G771" s="17"/>
      <c r="H771" s="17"/>
      <c r="I771" s="17"/>
      <c r="J771" s="17"/>
      <c r="K771" s="17"/>
      <c r="L771" s="17"/>
    </row>
    <row r="772">
      <c r="A772" s="11" t="str">
        <f t="shared" si="1"/>
        <v/>
      </c>
      <c r="B772" s="16"/>
      <c r="C772" s="16"/>
      <c r="D772" s="16"/>
      <c r="E772" s="16"/>
      <c r="F772" s="17"/>
      <c r="G772" s="17"/>
      <c r="H772" s="17"/>
      <c r="I772" s="17"/>
      <c r="J772" s="17"/>
      <c r="K772" s="17"/>
      <c r="L772" s="17"/>
    </row>
    <row r="773">
      <c r="A773" s="11" t="str">
        <f t="shared" si="1"/>
        <v/>
      </c>
      <c r="B773" s="16"/>
      <c r="C773" s="16"/>
      <c r="D773" s="16"/>
      <c r="E773" s="16"/>
      <c r="F773" s="17"/>
      <c r="G773" s="17"/>
      <c r="H773" s="17"/>
      <c r="I773" s="17"/>
      <c r="J773" s="17"/>
      <c r="K773" s="17"/>
      <c r="L773" s="17"/>
    </row>
    <row r="774">
      <c r="A774" s="11" t="str">
        <f t="shared" si="1"/>
        <v/>
      </c>
      <c r="B774" s="16"/>
      <c r="C774" s="16"/>
      <c r="D774" s="16"/>
      <c r="E774" s="16"/>
      <c r="F774" s="17"/>
      <c r="G774" s="17"/>
      <c r="H774" s="17"/>
      <c r="I774" s="17"/>
      <c r="J774" s="17"/>
      <c r="K774" s="17"/>
      <c r="L774" s="17"/>
    </row>
    <row r="775">
      <c r="A775" s="11" t="str">
        <f t="shared" si="1"/>
        <v/>
      </c>
      <c r="B775" s="16"/>
      <c r="C775" s="16"/>
      <c r="D775" s="16"/>
      <c r="E775" s="16"/>
      <c r="F775" s="17"/>
      <c r="G775" s="17"/>
      <c r="H775" s="17"/>
      <c r="I775" s="17"/>
      <c r="J775" s="17"/>
      <c r="K775" s="17"/>
      <c r="L775" s="17"/>
    </row>
    <row r="776">
      <c r="A776" s="11" t="str">
        <f t="shared" si="1"/>
        <v/>
      </c>
      <c r="B776" s="16"/>
      <c r="C776" s="16"/>
      <c r="D776" s="16"/>
      <c r="E776" s="16"/>
      <c r="F776" s="17"/>
      <c r="G776" s="17"/>
      <c r="H776" s="17"/>
      <c r="I776" s="17"/>
      <c r="J776" s="17"/>
      <c r="K776" s="17"/>
      <c r="L776" s="17"/>
    </row>
    <row r="777">
      <c r="A777" s="11" t="str">
        <f t="shared" si="1"/>
        <v/>
      </c>
      <c r="B777" s="16"/>
      <c r="C777" s="16"/>
      <c r="D777" s="16"/>
      <c r="E777" s="16"/>
      <c r="F777" s="17"/>
      <c r="G777" s="17"/>
      <c r="H777" s="17"/>
      <c r="I777" s="17"/>
      <c r="J777" s="17"/>
      <c r="K777" s="17"/>
      <c r="L777" s="17"/>
    </row>
    <row r="778">
      <c r="A778" s="11" t="str">
        <f t="shared" si="1"/>
        <v/>
      </c>
      <c r="B778" s="16"/>
      <c r="C778" s="16"/>
      <c r="D778" s="16"/>
      <c r="E778" s="16"/>
      <c r="F778" s="17"/>
      <c r="G778" s="17"/>
      <c r="H778" s="17"/>
      <c r="I778" s="17"/>
      <c r="J778" s="17"/>
      <c r="K778" s="17"/>
      <c r="L778" s="17"/>
    </row>
    <row r="779">
      <c r="A779" s="11" t="str">
        <f t="shared" si="1"/>
        <v/>
      </c>
      <c r="B779" s="16"/>
      <c r="C779" s="16"/>
      <c r="D779" s="16"/>
      <c r="E779" s="16"/>
      <c r="F779" s="17"/>
      <c r="G779" s="17"/>
      <c r="H779" s="17"/>
      <c r="I779" s="17"/>
      <c r="J779" s="17"/>
      <c r="K779" s="17"/>
      <c r="L779" s="17"/>
    </row>
    <row r="780">
      <c r="A780" s="11" t="str">
        <f t="shared" si="1"/>
        <v/>
      </c>
      <c r="B780" s="16"/>
      <c r="C780" s="16"/>
      <c r="D780" s="16"/>
      <c r="E780" s="16"/>
      <c r="F780" s="17"/>
      <c r="G780" s="17"/>
      <c r="H780" s="17"/>
      <c r="I780" s="17"/>
      <c r="J780" s="17"/>
      <c r="K780" s="17"/>
      <c r="L780" s="17"/>
    </row>
    <row r="781">
      <c r="A781" s="11" t="str">
        <f t="shared" si="1"/>
        <v/>
      </c>
      <c r="B781" s="16"/>
      <c r="C781" s="16"/>
      <c r="D781" s="16"/>
      <c r="E781" s="16"/>
      <c r="F781" s="17"/>
      <c r="G781" s="17"/>
      <c r="H781" s="17"/>
      <c r="I781" s="17"/>
      <c r="J781" s="17"/>
      <c r="K781" s="17"/>
      <c r="L781" s="17"/>
    </row>
    <row r="782">
      <c r="A782" s="11" t="str">
        <f t="shared" si="1"/>
        <v/>
      </c>
      <c r="B782" s="16"/>
      <c r="C782" s="16"/>
      <c r="D782" s="16"/>
      <c r="E782" s="16"/>
      <c r="F782" s="17"/>
      <c r="G782" s="17"/>
      <c r="H782" s="17"/>
      <c r="I782" s="17"/>
      <c r="J782" s="17"/>
      <c r="K782" s="17"/>
      <c r="L782" s="17"/>
    </row>
    <row r="783">
      <c r="A783" s="11" t="str">
        <f t="shared" si="1"/>
        <v/>
      </c>
      <c r="B783" s="16"/>
      <c r="C783" s="16"/>
      <c r="D783" s="16"/>
      <c r="E783" s="16"/>
      <c r="F783" s="17"/>
      <c r="G783" s="17"/>
      <c r="H783" s="17"/>
      <c r="I783" s="17"/>
      <c r="J783" s="17"/>
      <c r="K783" s="17"/>
      <c r="L783" s="17"/>
    </row>
    <row r="784">
      <c r="A784" s="11" t="str">
        <f t="shared" si="1"/>
        <v/>
      </c>
      <c r="B784" s="16"/>
      <c r="C784" s="16"/>
      <c r="D784" s="16"/>
      <c r="E784" s="16"/>
      <c r="F784" s="17"/>
      <c r="G784" s="17"/>
      <c r="H784" s="17"/>
      <c r="I784" s="17"/>
      <c r="J784" s="17"/>
      <c r="K784" s="17"/>
      <c r="L784" s="17"/>
    </row>
    <row r="785">
      <c r="A785" s="11" t="str">
        <f t="shared" si="1"/>
        <v/>
      </c>
      <c r="B785" s="16"/>
      <c r="C785" s="16"/>
      <c r="D785" s="16"/>
      <c r="E785" s="16"/>
      <c r="F785" s="17"/>
      <c r="G785" s="17"/>
      <c r="H785" s="17"/>
      <c r="I785" s="17"/>
      <c r="J785" s="17"/>
      <c r="K785" s="17"/>
      <c r="L785" s="17"/>
    </row>
    <row r="786">
      <c r="A786" s="11" t="str">
        <f t="shared" si="1"/>
        <v/>
      </c>
      <c r="B786" s="16"/>
      <c r="C786" s="16"/>
      <c r="D786" s="16"/>
      <c r="E786" s="16"/>
      <c r="F786" s="17"/>
      <c r="G786" s="17"/>
      <c r="H786" s="17"/>
      <c r="I786" s="17"/>
      <c r="J786" s="17"/>
      <c r="K786" s="17"/>
      <c r="L786" s="17"/>
    </row>
    <row r="787">
      <c r="A787" s="11" t="str">
        <f t="shared" si="1"/>
        <v/>
      </c>
      <c r="B787" s="16"/>
      <c r="C787" s="16"/>
      <c r="D787" s="16"/>
      <c r="E787" s="16"/>
      <c r="F787" s="17"/>
      <c r="G787" s="17"/>
      <c r="H787" s="17"/>
      <c r="I787" s="17"/>
      <c r="J787" s="17"/>
      <c r="K787" s="17"/>
      <c r="L787" s="17"/>
    </row>
    <row r="788">
      <c r="A788" s="11" t="str">
        <f t="shared" si="1"/>
        <v/>
      </c>
      <c r="B788" s="16"/>
      <c r="C788" s="16"/>
      <c r="D788" s="16"/>
      <c r="E788" s="16"/>
      <c r="F788" s="17"/>
      <c r="G788" s="17"/>
      <c r="H788" s="17"/>
      <c r="I788" s="17"/>
      <c r="J788" s="17"/>
      <c r="K788" s="17"/>
      <c r="L788" s="17"/>
    </row>
    <row r="789">
      <c r="A789" s="11" t="str">
        <f t="shared" si="1"/>
        <v/>
      </c>
      <c r="B789" s="16"/>
      <c r="C789" s="16"/>
      <c r="D789" s="16"/>
      <c r="E789" s="16"/>
      <c r="F789" s="17"/>
      <c r="G789" s="17"/>
      <c r="H789" s="17"/>
      <c r="I789" s="17"/>
      <c r="J789" s="17"/>
      <c r="K789" s="17"/>
      <c r="L789" s="17"/>
    </row>
    <row r="790">
      <c r="A790" s="11" t="str">
        <f t="shared" si="1"/>
        <v/>
      </c>
      <c r="B790" s="16"/>
      <c r="C790" s="16"/>
      <c r="D790" s="16"/>
      <c r="E790" s="16"/>
      <c r="F790" s="17"/>
      <c r="G790" s="17"/>
      <c r="H790" s="17"/>
      <c r="I790" s="17"/>
      <c r="J790" s="17"/>
      <c r="K790" s="17"/>
      <c r="L790" s="17"/>
    </row>
    <row r="791">
      <c r="A791" s="11" t="str">
        <f t="shared" si="1"/>
        <v/>
      </c>
      <c r="B791" s="16"/>
      <c r="C791" s="16"/>
      <c r="D791" s="16"/>
      <c r="E791" s="16"/>
      <c r="F791" s="17"/>
      <c r="G791" s="17"/>
      <c r="H791" s="17"/>
      <c r="I791" s="17"/>
      <c r="J791" s="17"/>
      <c r="K791" s="17"/>
      <c r="L791" s="17"/>
    </row>
    <row r="792">
      <c r="A792" s="11" t="str">
        <f t="shared" si="1"/>
        <v/>
      </c>
      <c r="B792" s="16"/>
      <c r="C792" s="16"/>
      <c r="D792" s="16"/>
      <c r="E792" s="16"/>
      <c r="F792" s="17"/>
      <c r="G792" s="17"/>
      <c r="H792" s="17"/>
      <c r="I792" s="17"/>
      <c r="J792" s="17"/>
      <c r="K792" s="17"/>
      <c r="L792" s="17"/>
    </row>
    <row r="793">
      <c r="A793" s="11" t="str">
        <f t="shared" si="1"/>
        <v/>
      </c>
      <c r="B793" s="16"/>
      <c r="C793" s="16"/>
      <c r="D793" s="16"/>
      <c r="E793" s="16"/>
      <c r="F793" s="17"/>
      <c r="G793" s="17"/>
      <c r="H793" s="17"/>
      <c r="I793" s="17"/>
      <c r="J793" s="17"/>
      <c r="K793" s="17"/>
      <c r="L793" s="17"/>
    </row>
    <row r="794">
      <c r="A794" s="11" t="str">
        <f t="shared" si="1"/>
        <v/>
      </c>
      <c r="B794" s="16"/>
      <c r="C794" s="16"/>
      <c r="D794" s="16"/>
      <c r="E794" s="16"/>
      <c r="F794" s="17"/>
      <c r="G794" s="17"/>
      <c r="H794" s="17"/>
      <c r="I794" s="17"/>
      <c r="J794" s="17"/>
      <c r="K794" s="17"/>
      <c r="L794" s="17"/>
    </row>
    <row r="795">
      <c r="A795" s="11" t="str">
        <f t="shared" si="1"/>
        <v/>
      </c>
      <c r="B795" s="16"/>
      <c r="C795" s="16"/>
      <c r="D795" s="16"/>
      <c r="E795" s="16"/>
      <c r="F795" s="17"/>
      <c r="G795" s="17"/>
      <c r="H795" s="17"/>
      <c r="I795" s="17"/>
      <c r="J795" s="17"/>
      <c r="K795" s="17"/>
      <c r="L795" s="17"/>
    </row>
    <row r="796">
      <c r="A796" s="11" t="str">
        <f t="shared" si="1"/>
        <v/>
      </c>
      <c r="B796" s="16"/>
      <c r="C796" s="16"/>
      <c r="D796" s="16"/>
      <c r="E796" s="16"/>
      <c r="F796" s="17"/>
      <c r="G796" s="17"/>
      <c r="H796" s="17"/>
      <c r="I796" s="17"/>
      <c r="J796" s="17"/>
      <c r="K796" s="17"/>
      <c r="L796" s="17"/>
    </row>
    <row r="797">
      <c r="A797" s="11" t="str">
        <f t="shared" si="1"/>
        <v/>
      </c>
      <c r="B797" s="16"/>
      <c r="C797" s="16"/>
      <c r="D797" s="16"/>
      <c r="E797" s="16"/>
      <c r="F797" s="17"/>
      <c r="G797" s="17"/>
      <c r="H797" s="17"/>
      <c r="I797" s="17"/>
      <c r="J797" s="17"/>
      <c r="K797" s="17"/>
      <c r="L797" s="17"/>
    </row>
    <row r="798">
      <c r="A798" s="11" t="str">
        <f t="shared" si="1"/>
        <v/>
      </c>
      <c r="B798" s="16"/>
      <c r="C798" s="16"/>
      <c r="D798" s="16"/>
      <c r="E798" s="16"/>
      <c r="F798" s="17"/>
      <c r="G798" s="17"/>
      <c r="H798" s="17"/>
      <c r="I798" s="17"/>
      <c r="J798" s="17"/>
      <c r="K798" s="17"/>
      <c r="L798" s="17"/>
    </row>
    <row r="799">
      <c r="A799" s="11" t="str">
        <f t="shared" si="1"/>
        <v/>
      </c>
      <c r="B799" s="16"/>
      <c r="C799" s="16"/>
      <c r="D799" s="16"/>
      <c r="E799" s="16"/>
      <c r="F799" s="17"/>
      <c r="G799" s="17"/>
      <c r="H799" s="17"/>
      <c r="I799" s="17"/>
      <c r="J799" s="17"/>
      <c r="K799" s="17"/>
      <c r="L799" s="17"/>
    </row>
    <row r="800">
      <c r="A800" s="11" t="str">
        <f t="shared" si="1"/>
        <v/>
      </c>
      <c r="B800" s="16"/>
      <c r="C800" s="16"/>
      <c r="D800" s="16"/>
      <c r="E800" s="16"/>
      <c r="F800" s="17"/>
      <c r="G800" s="17"/>
      <c r="H800" s="17"/>
      <c r="I800" s="17"/>
      <c r="J800" s="17"/>
      <c r="K800" s="17"/>
      <c r="L800" s="17"/>
    </row>
    <row r="801">
      <c r="A801" s="11" t="str">
        <f t="shared" si="1"/>
        <v/>
      </c>
      <c r="B801" s="16"/>
      <c r="C801" s="16"/>
      <c r="D801" s="16"/>
      <c r="E801" s="16"/>
      <c r="F801" s="17"/>
      <c r="G801" s="17"/>
      <c r="H801" s="17"/>
      <c r="I801" s="17"/>
      <c r="J801" s="17"/>
      <c r="K801" s="17"/>
      <c r="L801" s="17"/>
    </row>
    <row r="802">
      <c r="A802" s="11" t="str">
        <f t="shared" si="1"/>
        <v/>
      </c>
      <c r="B802" s="16"/>
      <c r="C802" s="16"/>
      <c r="D802" s="16"/>
      <c r="E802" s="16"/>
      <c r="F802" s="17"/>
      <c r="G802" s="17"/>
      <c r="H802" s="17"/>
      <c r="I802" s="17"/>
      <c r="J802" s="17"/>
      <c r="K802" s="17"/>
      <c r="L802" s="17"/>
    </row>
    <row r="803">
      <c r="A803" s="11" t="str">
        <f t="shared" si="1"/>
        <v/>
      </c>
      <c r="B803" s="16"/>
      <c r="C803" s="16"/>
      <c r="D803" s="16"/>
      <c r="E803" s="16"/>
      <c r="F803" s="17"/>
      <c r="G803" s="17"/>
      <c r="H803" s="17"/>
      <c r="I803" s="17"/>
      <c r="J803" s="17"/>
      <c r="K803" s="17"/>
      <c r="L803" s="17"/>
    </row>
    <row r="804">
      <c r="A804" s="11" t="str">
        <f t="shared" si="1"/>
        <v/>
      </c>
      <c r="B804" s="16"/>
      <c r="C804" s="16"/>
      <c r="D804" s="16"/>
      <c r="E804" s="16"/>
      <c r="F804" s="17"/>
      <c r="G804" s="17"/>
      <c r="H804" s="17"/>
      <c r="I804" s="17"/>
      <c r="J804" s="17"/>
      <c r="K804" s="17"/>
      <c r="L804" s="17"/>
    </row>
    <row r="805">
      <c r="A805" s="11" t="str">
        <f t="shared" si="1"/>
        <v/>
      </c>
      <c r="B805" s="16"/>
      <c r="C805" s="16"/>
      <c r="D805" s="16"/>
      <c r="E805" s="16"/>
      <c r="F805" s="17"/>
      <c r="G805" s="17"/>
      <c r="H805" s="17"/>
      <c r="I805" s="17"/>
      <c r="J805" s="17"/>
      <c r="K805" s="17"/>
      <c r="L805" s="17"/>
    </row>
    <row r="806">
      <c r="A806" s="11" t="str">
        <f t="shared" si="1"/>
        <v/>
      </c>
      <c r="B806" s="16"/>
      <c r="C806" s="16"/>
      <c r="D806" s="16"/>
      <c r="E806" s="16"/>
      <c r="F806" s="17"/>
      <c r="G806" s="17"/>
      <c r="H806" s="17"/>
      <c r="I806" s="17"/>
      <c r="J806" s="17"/>
      <c r="K806" s="17"/>
      <c r="L806" s="17"/>
    </row>
    <row r="807">
      <c r="A807" s="11" t="str">
        <f t="shared" si="1"/>
        <v/>
      </c>
      <c r="B807" s="16"/>
      <c r="C807" s="16"/>
      <c r="D807" s="16"/>
      <c r="E807" s="16"/>
      <c r="F807" s="17"/>
      <c r="G807" s="17"/>
      <c r="H807" s="17"/>
      <c r="I807" s="17"/>
      <c r="J807" s="17"/>
      <c r="K807" s="17"/>
      <c r="L807" s="17"/>
    </row>
    <row r="808">
      <c r="A808" s="11" t="str">
        <f t="shared" si="1"/>
        <v/>
      </c>
      <c r="B808" s="16"/>
      <c r="C808" s="16"/>
      <c r="D808" s="16"/>
      <c r="E808" s="16"/>
      <c r="F808" s="17"/>
      <c r="G808" s="17"/>
      <c r="H808" s="17"/>
      <c r="I808" s="17"/>
      <c r="J808" s="17"/>
      <c r="K808" s="17"/>
      <c r="L808" s="17"/>
    </row>
    <row r="809">
      <c r="A809" s="11" t="str">
        <f t="shared" si="1"/>
        <v/>
      </c>
      <c r="B809" s="16"/>
      <c r="C809" s="16"/>
      <c r="D809" s="16"/>
      <c r="E809" s="16"/>
      <c r="F809" s="17"/>
      <c r="G809" s="17"/>
      <c r="H809" s="17"/>
      <c r="I809" s="17"/>
      <c r="J809" s="17"/>
      <c r="K809" s="17"/>
      <c r="L809" s="17"/>
    </row>
    <row r="810">
      <c r="A810" s="11" t="str">
        <f t="shared" si="1"/>
        <v/>
      </c>
      <c r="B810" s="16"/>
      <c r="C810" s="16"/>
      <c r="D810" s="16"/>
      <c r="E810" s="16"/>
      <c r="F810" s="17"/>
      <c r="G810" s="17"/>
      <c r="H810" s="17"/>
      <c r="I810" s="17"/>
      <c r="J810" s="17"/>
      <c r="K810" s="17"/>
      <c r="L810" s="17"/>
    </row>
    <row r="811">
      <c r="A811" s="11" t="str">
        <f t="shared" si="1"/>
        <v/>
      </c>
      <c r="B811" s="16"/>
      <c r="C811" s="16"/>
      <c r="D811" s="16"/>
      <c r="E811" s="16"/>
      <c r="F811" s="17"/>
      <c r="G811" s="17"/>
      <c r="H811" s="17"/>
      <c r="I811" s="17"/>
      <c r="J811" s="17"/>
      <c r="K811" s="17"/>
      <c r="L811" s="17"/>
    </row>
    <row r="812">
      <c r="A812" s="11" t="str">
        <f t="shared" si="1"/>
        <v/>
      </c>
      <c r="B812" s="16"/>
      <c r="C812" s="16"/>
      <c r="D812" s="16"/>
      <c r="E812" s="16"/>
      <c r="F812" s="17"/>
      <c r="G812" s="17"/>
      <c r="H812" s="17"/>
      <c r="I812" s="17"/>
      <c r="J812" s="17"/>
      <c r="K812" s="17"/>
      <c r="L812" s="17"/>
    </row>
    <row r="813">
      <c r="A813" s="11" t="str">
        <f t="shared" si="1"/>
        <v/>
      </c>
      <c r="B813" s="16"/>
      <c r="C813" s="16"/>
      <c r="D813" s="16"/>
      <c r="E813" s="16"/>
      <c r="F813" s="17"/>
      <c r="G813" s="17"/>
      <c r="H813" s="17"/>
      <c r="I813" s="17"/>
      <c r="J813" s="17"/>
      <c r="K813" s="17"/>
      <c r="L813" s="17"/>
    </row>
    <row r="814">
      <c r="A814" s="11" t="str">
        <f t="shared" si="1"/>
        <v/>
      </c>
      <c r="B814" s="16"/>
      <c r="C814" s="16"/>
      <c r="D814" s="16"/>
      <c r="E814" s="16"/>
      <c r="F814" s="17"/>
      <c r="G814" s="17"/>
      <c r="H814" s="17"/>
      <c r="I814" s="17"/>
      <c r="J814" s="17"/>
      <c r="K814" s="17"/>
      <c r="L814" s="17"/>
    </row>
    <row r="815">
      <c r="A815" s="11" t="str">
        <f t="shared" si="1"/>
        <v/>
      </c>
      <c r="B815" s="16"/>
      <c r="C815" s="16"/>
      <c r="D815" s="16"/>
      <c r="E815" s="16"/>
      <c r="F815" s="17"/>
      <c r="G815" s="17"/>
      <c r="H815" s="17"/>
      <c r="I815" s="17"/>
      <c r="J815" s="17"/>
      <c r="K815" s="17"/>
      <c r="L815" s="17"/>
    </row>
    <row r="816">
      <c r="A816" s="11" t="str">
        <f t="shared" si="1"/>
        <v/>
      </c>
      <c r="B816" s="16"/>
      <c r="C816" s="16"/>
      <c r="D816" s="16"/>
      <c r="E816" s="16"/>
      <c r="F816" s="17"/>
      <c r="G816" s="17"/>
      <c r="H816" s="17"/>
      <c r="I816" s="17"/>
      <c r="J816" s="17"/>
      <c r="K816" s="17"/>
      <c r="L816" s="17"/>
    </row>
    <row r="817">
      <c r="A817" s="11" t="str">
        <f t="shared" si="1"/>
        <v/>
      </c>
      <c r="B817" s="16"/>
      <c r="C817" s="16"/>
      <c r="D817" s="16"/>
      <c r="E817" s="16"/>
      <c r="F817" s="17"/>
      <c r="G817" s="17"/>
      <c r="H817" s="17"/>
      <c r="I817" s="17"/>
      <c r="J817" s="17"/>
      <c r="K817" s="17"/>
      <c r="L817" s="17"/>
    </row>
    <row r="818">
      <c r="A818" s="11" t="str">
        <f t="shared" si="1"/>
        <v/>
      </c>
      <c r="B818" s="16"/>
      <c r="C818" s="16"/>
      <c r="D818" s="16"/>
      <c r="E818" s="16"/>
      <c r="F818" s="17"/>
      <c r="G818" s="17"/>
      <c r="H818" s="17"/>
      <c r="I818" s="17"/>
      <c r="J818" s="17"/>
      <c r="K818" s="17"/>
      <c r="L818" s="17"/>
    </row>
    <row r="819">
      <c r="A819" s="11" t="str">
        <f t="shared" si="1"/>
        <v/>
      </c>
      <c r="B819" s="16"/>
      <c r="C819" s="16"/>
      <c r="D819" s="16"/>
      <c r="E819" s="16"/>
      <c r="F819" s="17"/>
      <c r="G819" s="17"/>
      <c r="H819" s="17"/>
      <c r="I819" s="17"/>
      <c r="J819" s="17"/>
      <c r="K819" s="17"/>
      <c r="L819" s="17"/>
    </row>
    <row r="820">
      <c r="A820" s="11" t="str">
        <f t="shared" si="1"/>
        <v/>
      </c>
      <c r="B820" s="16"/>
      <c r="C820" s="16"/>
      <c r="D820" s="16"/>
      <c r="E820" s="16"/>
      <c r="F820" s="17"/>
      <c r="G820" s="17"/>
      <c r="H820" s="17"/>
      <c r="I820" s="17"/>
      <c r="J820" s="17"/>
      <c r="K820" s="17"/>
      <c r="L820" s="17"/>
    </row>
    <row r="821">
      <c r="A821" s="11" t="str">
        <f t="shared" si="1"/>
        <v/>
      </c>
      <c r="B821" s="16"/>
      <c r="C821" s="16"/>
      <c r="D821" s="16"/>
      <c r="E821" s="16"/>
      <c r="F821" s="17"/>
      <c r="G821" s="17"/>
      <c r="H821" s="17"/>
      <c r="I821" s="17"/>
      <c r="J821" s="17"/>
      <c r="K821" s="17"/>
      <c r="L821" s="17"/>
    </row>
    <row r="822">
      <c r="A822" s="11" t="str">
        <f t="shared" si="1"/>
        <v/>
      </c>
      <c r="B822" s="16"/>
      <c r="C822" s="16"/>
      <c r="D822" s="16"/>
      <c r="E822" s="16"/>
      <c r="F822" s="17"/>
      <c r="G822" s="17"/>
      <c r="H822" s="17"/>
      <c r="I822" s="17"/>
      <c r="J822" s="17"/>
      <c r="K822" s="17"/>
      <c r="L822" s="17"/>
    </row>
    <row r="823">
      <c r="A823" s="11" t="str">
        <f t="shared" si="1"/>
        <v/>
      </c>
      <c r="B823" s="16"/>
      <c r="C823" s="16"/>
      <c r="D823" s="16"/>
      <c r="E823" s="16"/>
      <c r="F823" s="17"/>
      <c r="G823" s="17"/>
      <c r="H823" s="17"/>
      <c r="I823" s="17"/>
      <c r="J823" s="17"/>
      <c r="K823" s="17"/>
      <c r="L823" s="17"/>
    </row>
    <row r="824">
      <c r="A824" s="11" t="str">
        <f t="shared" si="1"/>
        <v/>
      </c>
      <c r="B824" s="16"/>
      <c r="C824" s="16"/>
      <c r="D824" s="16"/>
      <c r="E824" s="16"/>
      <c r="F824" s="17"/>
      <c r="G824" s="17"/>
      <c r="H824" s="17"/>
      <c r="I824" s="17"/>
      <c r="J824" s="17"/>
      <c r="K824" s="17"/>
      <c r="L824" s="17"/>
    </row>
    <row r="825">
      <c r="A825" s="11" t="str">
        <f t="shared" si="1"/>
        <v/>
      </c>
      <c r="B825" s="16"/>
      <c r="C825" s="16"/>
      <c r="D825" s="16"/>
      <c r="E825" s="16"/>
      <c r="F825" s="17"/>
      <c r="G825" s="17"/>
      <c r="H825" s="17"/>
      <c r="I825" s="17"/>
      <c r="J825" s="17"/>
      <c r="K825" s="17"/>
      <c r="L825" s="17"/>
    </row>
    <row r="826">
      <c r="A826" s="11" t="str">
        <f t="shared" si="1"/>
        <v/>
      </c>
      <c r="B826" s="16"/>
      <c r="C826" s="16"/>
      <c r="D826" s="16"/>
      <c r="E826" s="16"/>
      <c r="F826" s="17"/>
      <c r="G826" s="17"/>
      <c r="H826" s="17"/>
      <c r="I826" s="17"/>
      <c r="J826" s="17"/>
      <c r="K826" s="17"/>
      <c r="L826" s="17"/>
    </row>
    <row r="827">
      <c r="A827" s="11" t="str">
        <f t="shared" si="1"/>
        <v/>
      </c>
      <c r="B827" s="16"/>
      <c r="C827" s="16"/>
      <c r="D827" s="16"/>
      <c r="E827" s="16"/>
      <c r="F827" s="17"/>
      <c r="G827" s="17"/>
      <c r="H827" s="17"/>
      <c r="I827" s="17"/>
      <c r="J827" s="17"/>
      <c r="K827" s="17"/>
      <c r="L827" s="17"/>
    </row>
    <row r="828">
      <c r="A828" s="11" t="str">
        <f t="shared" si="1"/>
        <v/>
      </c>
      <c r="B828" s="16"/>
      <c r="C828" s="16"/>
      <c r="D828" s="16"/>
      <c r="E828" s="16"/>
      <c r="F828" s="17"/>
      <c r="G828" s="17"/>
      <c r="H828" s="17"/>
      <c r="I828" s="17"/>
      <c r="J828" s="17"/>
      <c r="K828" s="17"/>
      <c r="L828" s="17"/>
    </row>
    <row r="829">
      <c r="A829" s="11" t="str">
        <f t="shared" si="1"/>
        <v/>
      </c>
      <c r="B829" s="16"/>
      <c r="C829" s="16"/>
      <c r="D829" s="16"/>
      <c r="E829" s="16"/>
      <c r="F829" s="17"/>
      <c r="G829" s="17"/>
      <c r="H829" s="17"/>
      <c r="I829" s="17"/>
      <c r="J829" s="17"/>
      <c r="K829" s="17"/>
      <c r="L829" s="17"/>
    </row>
    <row r="830">
      <c r="A830" s="11" t="str">
        <f t="shared" si="1"/>
        <v/>
      </c>
      <c r="B830" s="16"/>
      <c r="C830" s="16"/>
      <c r="D830" s="16"/>
      <c r="E830" s="16"/>
      <c r="F830" s="17"/>
      <c r="G830" s="17"/>
      <c r="H830" s="17"/>
      <c r="I830" s="17"/>
      <c r="J830" s="17"/>
      <c r="K830" s="17"/>
      <c r="L830" s="17"/>
    </row>
    <row r="831">
      <c r="A831" s="11" t="str">
        <f t="shared" si="1"/>
        <v/>
      </c>
      <c r="B831" s="16"/>
      <c r="C831" s="16"/>
      <c r="D831" s="16"/>
      <c r="E831" s="16"/>
      <c r="F831" s="17"/>
      <c r="G831" s="17"/>
      <c r="H831" s="17"/>
      <c r="I831" s="17"/>
      <c r="J831" s="17"/>
      <c r="K831" s="17"/>
      <c r="L831" s="17"/>
    </row>
    <row r="832">
      <c r="A832" s="11" t="str">
        <f t="shared" si="1"/>
        <v/>
      </c>
      <c r="B832" s="16"/>
      <c r="C832" s="16"/>
      <c r="D832" s="16"/>
      <c r="E832" s="16"/>
      <c r="F832" s="17"/>
      <c r="G832" s="17"/>
      <c r="H832" s="17"/>
      <c r="I832" s="17"/>
      <c r="J832" s="17"/>
      <c r="K832" s="17"/>
      <c r="L832" s="17"/>
    </row>
    <row r="833">
      <c r="A833" s="11" t="str">
        <f t="shared" si="1"/>
        <v/>
      </c>
      <c r="B833" s="16"/>
      <c r="C833" s="16"/>
      <c r="D833" s="16"/>
      <c r="E833" s="16"/>
      <c r="F833" s="17"/>
      <c r="G833" s="17"/>
      <c r="H833" s="17"/>
      <c r="I833" s="17"/>
      <c r="J833" s="17"/>
      <c r="K833" s="17"/>
      <c r="L833" s="17"/>
    </row>
    <row r="834">
      <c r="A834" s="11" t="str">
        <f t="shared" si="1"/>
        <v/>
      </c>
      <c r="B834" s="16"/>
      <c r="C834" s="16"/>
      <c r="D834" s="16"/>
      <c r="E834" s="16"/>
      <c r="F834" s="17"/>
      <c r="G834" s="17"/>
      <c r="H834" s="17"/>
      <c r="I834" s="17"/>
      <c r="J834" s="17"/>
      <c r="K834" s="17"/>
      <c r="L834" s="17"/>
    </row>
    <row r="835">
      <c r="A835" s="11" t="str">
        <f t="shared" si="1"/>
        <v/>
      </c>
      <c r="B835" s="16"/>
      <c r="C835" s="16"/>
      <c r="D835" s="16"/>
      <c r="E835" s="16"/>
      <c r="F835" s="17"/>
      <c r="G835" s="17"/>
      <c r="H835" s="17"/>
      <c r="I835" s="17"/>
      <c r="J835" s="17"/>
      <c r="K835" s="17"/>
      <c r="L835" s="17"/>
    </row>
    <row r="836">
      <c r="A836" s="11" t="str">
        <f t="shared" si="1"/>
        <v/>
      </c>
      <c r="B836" s="16"/>
      <c r="C836" s="16"/>
      <c r="D836" s="16"/>
      <c r="E836" s="16"/>
      <c r="F836" s="17"/>
      <c r="G836" s="17"/>
      <c r="H836" s="17"/>
      <c r="I836" s="17"/>
      <c r="J836" s="17"/>
      <c r="K836" s="17"/>
      <c r="L836" s="17"/>
    </row>
    <row r="837">
      <c r="A837" s="11" t="str">
        <f t="shared" si="1"/>
        <v/>
      </c>
      <c r="B837" s="16"/>
      <c r="C837" s="16"/>
      <c r="D837" s="16"/>
      <c r="E837" s="16"/>
      <c r="F837" s="17"/>
      <c r="G837" s="17"/>
      <c r="H837" s="17"/>
      <c r="I837" s="17"/>
      <c r="J837" s="17"/>
      <c r="K837" s="17"/>
      <c r="L837" s="17"/>
    </row>
    <row r="838">
      <c r="A838" s="11" t="str">
        <f t="shared" si="1"/>
        <v/>
      </c>
      <c r="B838" s="16"/>
      <c r="C838" s="16"/>
      <c r="D838" s="16"/>
      <c r="E838" s="16"/>
      <c r="F838" s="17"/>
      <c r="G838" s="17"/>
      <c r="H838" s="17"/>
      <c r="I838" s="17"/>
      <c r="J838" s="17"/>
      <c r="K838" s="17"/>
      <c r="L838" s="17"/>
    </row>
    <row r="839">
      <c r="A839" s="11" t="str">
        <f t="shared" si="1"/>
        <v/>
      </c>
      <c r="B839" s="16"/>
      <c r="C839" s="16"/>
      <c r="D839" s="16"/>
      <c r="E839" s="16"/>
      <c r="F839" s="17"/>
      <c r="G839" s="17"/>
      <c r="H839" s="17"/>
      <c r="I839" s="17"/>
      <c r="J839" s="17"/>
      <c r="K839" s="17"/>
      <c r="L839" s="17"/>
    </row>
    <row r="840">
      <c r="A840" s="11" t="str">
        <f t="shared" si="1"/>
        <v/>
      </c>
      <c r="B840" s="16"/>
      <c r="C840" s="16"/>
      <c r="D840" s="16"/>
      <c r="E840" s="16"/>
      <c r="F840" s="17"/>
      <c r="G840" s="17"/>
      <c r="H840" s="17"/>
      <c r="I840" s="17"/>
      <c r="J840" s="17"/>
      <c r="K840" s="17"/>
      <c r="L840" s="17"/>
    </row>
    <row r="841">
      <c r="A841" s="11" t="str">
        <f t="shared" si="1"/>
        <v/>
      </c>
      <c r="B841" s="16"/>
      <c r="C841" s="16"/>
      <c r="D841" s="16"/>
      <c r="E841" s="16"/>
      <c r="F841" s="17"/>
      <c r="G841" s="17"/>
      <c r="H841" s="17"/>
      <c r="I841" s="17"/>
      <c r="J841" s="17"/>
      <c r="K841" s="17"/>
      <c r="L841" s="17"/>
    </row>
    <row r="842">
      <c r="A842" s="11" t="str">
        <f t="shared" si="1"/>
        <v/>
      </c>
      <c r="B842" s="16"/>
      <c r="C842" s="16"/>
      <c r="D842" s="16"/>
      <c r="E842" s="16"/>
      <c r="F842" s="17"/>
      <c r="G842" s="17"/>
      <c r="H842" s="17"/>
      <c r="I842" s="17"/>
      <c r="J842" s="17"/>
      <c r="K842" s="17"/>
      <c r="L842" s="17"/>
    </row>
    <row r="843">
      <c r="A843" s="11" t="str">
        <f t="shared" si="1"/>
        <v/>
      </c>
      <c r="B843" s="16"/>
      <c r="C843" s="16"/>
      <c r="D843" s="16"/>
      <c r="E843" s="16"/>
      <c r="F843" s="17"/>
      <c r="G843" s="17"/>
      <c r="H843" s="17"/>
      <c r="I843" s="17"/>
      <c r="J843" s="17"/>
      <c r="K843" s="17"/>
      <c r="L843" s="17"/>
    </row>
    <row r="844">
      <c r="A844" s="11" t="str">
        <f t="shared" si="1"/>
        <v/>
      </c>
      <c r="B844" s="16"/>
      <c r="C844" s="16"/>
      <c r="D844" s="16"/>
      <c r="E844" s="16"/>
      <c r="F844" s="17"/>
      <c r="G844" s="17"/>
      <c r="H844" s="17"/>
      <c r="I844" s="17"/>
      <c r="J844" s="17"/>
      <c r="K844" s="17"/>
      <c r="L844" s="17"/>
    </row>
    <row r="845">
      <c r="A845" s="11" t="str">
        <f t="shared" si="1"/>
        <v/>
      </c>
      <c r="B845" s="16"/>
      <c r="C845" s="16"/>
      <c r="D845" s="16"/>
      <c r="E845" s="16"/>
      <c r="F845" s="17"/>
      <c r="G845" s="17"/>
      <c r="H845" s="17"/>
      <c r="I845" s="17"/>
      <c r="J845" s="17"/>
      <c r="K845" s="17"/>
      <c r="L845" s="17"/>
    </row>
    <row r="846">
      <c r="A846" s="11" t="str">
        <f t="shared" si="1"/>
        <v/>
      </c>
      <c r="B846" s="16"/>
      <c r="C846" s="16"/>
      <c r="D846" s="16"/>
      <c r="E846" s="16"/>
      <c r="F846" s="17"/>
      <c r="G846" s="17"/>
      <c r="H846" s="17"/>
      <c r="I846" s="17"/>
      <c r="J846" s="17"/>
      <c r="K846" s="17"/>
      <c r="L846" s="17"/>
    </row>
    <row r="847">
      <c r="A847" s="11" t="str">
        <f t="shared" si="1"/>
        <v/>
      </c>
      <c r="B847" s="16"/>
      <c r="C847" s="16"/>
      <c r="D847" s="16"/>
      <c r="E847" s="16"/>
      <c r="F847" s="17"/>
      <c r="G847" s="17"/>
      <c r="H847" s="17"/>
      <c r="I847" s="17"/>
      <c r="J847" s="17"/>
      <c r="K847" s="17"/>
      <c r="L847" s="17"/>
    </row>
    <row r="848">
      <c r="A848" s="11" t="str">
        <f t="shared" si="1"/>
        <v/>
      </c>
      <c r="B848" s="16"/>
      <c r="C848" s="16"/>
      <c r="D848" s="16"/>
      <c r="E848" s="16"/>
      <c r="F848" s="17"/>
      <c r="G848" s="17"/>
      <c r="H848" s="17"/>
      <c r="I848" s="17"/>
      <c r="J848" s="17"/>
      <c r="K848" s="17"/>
      <c r="L848" s="17"/>
    </row>
    <row r="849">
      <c r="A849" s="11" t="str">
        <f t="shared" si="1"/>
        <v/>
      </c>
      <c r="B849" s="16"/>
      <c r="C849" s="16"/>
      <c r="D849" s="16"/>
      <c r="E849" s="16"/>
      <c r="F849" s="17"/>
      <c r="G849" s="17"/>
      <c r="H849" s="17"/>
      <c r="I849" s="17"/>
      <c r="J849" s="17"/>
      <c r="K849" s="17"/>
      <c r="L849" s="17"/>
    </row>
    <row r="850">
      <c r="A850" s="11" t="str">
        <f t="shared" si="1"/>
        <v/>
      </c>
      <c r="B850" s="16"/>
      <c r="C850" s="16"/>
      <c r="D850" s="16"/>
      <c r="E850" s="16"/>
      <c r="F850" s="17"/>
      <c r="G850" s="17"/>
      <c r="H850" s="17"/>
      <c r="I850" s="17"/>
      <c r="J850" s="17"/>
      <c r="K850" s="17"/>
      <c r="L850" s="17"/>
    </row>
    <row r="851">
      <c r="A851" s="11" t="str">
        <f t="shared" si="1"/>
        <v/>
      </c>
      <c r="B851" s="16"/>
      <c r="C851" s="16"/>
      <c r="D851" s="16"/>
      <c r="E851" s="16"/>
      <c r="F851" s="17"/>
      <c r="G851" s="17"/>
      <c r="H851" s="17"/>
      <c r="I851" s="17"/>
      <c r="J851" s="17"/>
      <c r="K851" s="17"/>
      <c r="L851" s="17"/>
    </row>
    <row r="852">
      <c r="A852" s="11" t="str">
        <f t="shared" si="1"/>
        <v/>
      </c>
      <c r="B852" s="16"/>
      <c r="C852" s="16"/>
      <c r="D852" s="16"/>
      <c r="E852" s="16"/>
      <c r="F852" s="17"/>
      <c r="G852" s="17"/>
      <c r="H852" s="17"/>
      <c r="I852" s="17"/>
      <c r="J852" s="17"/>
      <c r="K852" s="17"/>
      <c r="L852" s="17"/>
    </row>
    <row r="853">
      <c r="A853" s="11" t="str">
        <f t="shared" si="1"/>
        <v/>
      </c>
      <c r="B853" s="16"/>
      <c r="C853" s="16"/>
      <c r="D853" s="16"/>
      <c r="E853" s="16"/>
      <c r="F853" s="17"/>
      <c r="G853" s="17"/>
      <c r="H853" s="17"/>
      <c r="I853" s="17"/>
      <c r="J853" s="17"/>
      <c r="K853" s="17"/>
      <c r="L853" s="17"/>
    </row>
    <row r="854">
      <c r="A854" s="11" t="str">
        <f t="shared" si="1"/>
        <v/>
      </c>
      <c r="B854" s="16"/>
      <c r="C854" s="16"/>
      <c r="D854" s="16"/>
      <c r="E854" s="16"/>
      <c r="F854" s="17"/>
      <c r="G854" s="17"/>
      <c r="H854" s="17"/>
      <c r="I854" s="17"/>
      <c r="J854" s="17"/>
      <c r="K854" s="17"/>
      <c r="L854" s="17"/>
    </row>
    <row r="855">
      <c r="A855" s="11" t="str">
        <f t="shared" si="1"/>
        <v/>
      </c>
      <c r="B855" s="16"/>
      <c r="C855" s="16"/>
      <c r="D855" s="16"/>
      <c r="E855" s="16"/>
      <c r="F855" s="17"/>
      <c r="G855" s="17"/>
      <c r="H855" s="17"/>
      <c r="I855" s="17"/>
      <c r="J855" s="17"/>
      <c r="K855" s="17"/>
      <c r="L855" s="17"/>
    </row>
    <row r="856">
      <c r="A856" s="11" t="str">
        <f t="shared" si="1"/>
        <v/>
      </c>
      <c r="B856" s="16"/>
      <c r="C856" s="16"/>
      <c r="D856" s="16"/>
      <c r="E856" s="16"/>
      <c r="F856" s="17"/>
      <c r="G856" s="17"/>
      <c r="H856" s="17"/>
      <c r="I856" s="17"/>
      <c r="J856" s="17"/>
      <c r="K856" s="17"/>
      <c r="L856" s="17"/>
    </row>
    <row r="857">
      <c r="A857" s="11" t="str">
        <f t="shared" si="1"/>
        <v/>
      </c>
      <c r="B857" s="16"/>
      <c r="C857" s="16"/>
      <c r="D857" s="16"/>
      <c r="E857" s="16"/>
      <c r="F857" s="17"/>
      <c r="G857" s="17"/>
      <c r="H857" s="17"/>
      <c r="I857" s="17"/>
      <c r="J857" s="17"/>
      <c r="K857" s="17"/>
      <c r="L857" s="17"/>
    </row>
    <row r="858">
      <c r="A858" s="11" t="str">
        <f t="shared" si="1"/>
        <v/>
      </c>
      <c r="B858" s="16"/>
      <c r="C858" s="16"/>
      <c r="D858" s="16"/>
      <c r="E858" s="16"/>
      <c r="F858" s="17"/>
      <c r="G858" s="17"/>
      <c r="H858" s="17"/>
      <c r="I858" s="17"/>
      <c r="J858" s="17"/>
      <c r="K858" s="17"/>
      <c r="L858" s="17"/>
    </row>
    <row r="859">
      <c r="A859" s="11" t="str">
        <f t="shared" si="1"/>
        <v/>
      </c>
      <c r="B859" s="16"/>
      <c r="C859" s="16"/>
      <c r="D859" s="16"/>
      <c r="E859" s="16"/>
      <c r="F859" s="17"/>
      <c r="G859" s="17"/>
      <c r="H859" s="17"/>
      <c r="I859" s="17"/>
      <c r="J859" s="17"/>
      <c r="K859" s="17"/>
      <c r="L859" s="17"/>
    </row>
    <row r="860">
      <c r="A860" s="11" t="str">
        <f t="shared" si="1"/>
        <v/>
      </c>
      <c r="B860" s="16"/>
      <c r="C860" s="16"/>
      <c r="D860" s="16"/>
      <c r="E860" s="16"/>
      <c r="F860" s="17"/>
      <c r="G860" s="17"/>
      <c r="H860" s="17"/>
      <c r="I860" s="17"/>
      <c r="J860" s="17"/>
      <c r="K860" s="17"/>
      <c r="L860" s="17"/>
    </row>
    <row r="861">
      <c r="A861" s="11" t="str">
        <f t="shared" si="1"/>
        <v/>
      </c>
      <c r="B861" s="16"/>
      <c r="C861" s="16"/>
      <c r="D861" s="16"/>
      <c r="E861" s="16"/>
      <c r="F861" s="17"/>
      <c r="G861" s="17"/>
      <c r="H861" s="17"/>
      <c r="I861" s="17"/>
      <c r="J861" s="17"/>
      <c r="K861" s="17"/>
      <c r="L861" s="17"/>
    </row>
    <row r="862">
      <c r="A862" s="11" t="str">
        <f t="shared" si="1"/>
        <v/>
      </c>
      <c r="B862" s="16"/>
      <c r="C862" s="16"/>
      <c r="D862" s="16"/>
      <c r="E862" s="16"/>
      <c r="F862" s="17"/>
      <c r="G862" s="17"/>
      <c r="H862" s="17"/>
      <c r="I862" s="17"/>
      <c r="J862" s="17"/>
      <c r="K862" s="17"/>
      <c r="L862" s="17"/>
    </row>
    <row r="863">
      <c r="A863" s="11" t="str">
        <f t="shared" si="1"/>
        <v/>
      </c>
      <c r="B863" s="16"/>
      <c r="C863" s="16"/>
      <c r="D863" s="16"/>
      <c r="E863" s="16"/>
      <c r="F863" s="17"/>
      <c r="G863" s="17"/>
      <c r="H863" s="17"/>
      <c r="I863" s="17"/>
      <c r="J863" s="17"/>
      <c r="K863" s="17"/>
      <c r="L863" s="17"/>
    </row>
    <row r="864">
      <c r="A864" s="11" t="str">
        <f t="shared" si="1"/>
        <v/>
      </c>
      <c r="B864" s="16"/>
      <c r="C864" s="16"/>
      <c r="D864" s="16"/>
      <c r="E864" s="16"/>
      <c r="F864" s="17"/>
      <c r="G864" s="17"/>
      <c r="H864" s="17"/>
      <c r="I864" s="17"/>
      <c r="J864" s="17"/>
      <c r="K864" s="17"/>
      <c r="L864" s="17"/>
    </row>
    <row r="865">
      <c r="A865" s="11" t="str">
        <f t="shared" si="1"/>
        <v/>
      </c>
      <c r="B865" s="16"/>
      <c r="C865" s="16"/>
      <c r="D865" s="16"/>
      <c r="E865" s="16"/>
      <c r="F865" s="17"/>
      <c r="G865" s="17"/>
      <c r="H865" s="17"/>
      <c r="I865" s="17"/>
      <c r="J865" s="17"/>
      <c r="K865" s="17"/>
      <c r="L865" s="17"/>
    </row>
    <row r="866">
      <c r="A866" s="11" t="str">
        <f t="shared" si="1"/>
        <v/>
      </c>
      <c r="B866" s="16"/>
      <c r="C866" s="16"/>
      <c r="D866" s="16"/>
      <c r="E866" s="16"/>
      <c r="F866" s="17"/>
      <c r="G866" s="17"/>
      <c r="H866" s="17"/>
      <c r="I866" s="17"/>
      <c r="J866" s="17"/>
      <c r="K866" s="17"/>
      <c r="L866" s="17"/>
    </row>
    <row r="867">
      <c r="A867" s="11" t="str">
        <f t="shared" si="1"/>
        <v/>
      </c>
      <c r="B867" s="16"/>
      <c r="C867" s="16"/>
      <c r="D867" s="16"/>
      <c r="E867" s="16"/>
      <c r="F867" s="17"/>
      <c r="G867" s="17"/>
      <c r="H867" s="17"/>
      <c r="I867" s="17"/>
      <c r="J867" s="17"/>
      <c r="K867" s="17"/>
      <c r="L867" s="17"/>
    </row>
    <row r="868">
      <c r="A868" s="11" t="str">
        <f t="shared" si="1"/>
        <v/>
      </c>
      <c r="B868" s="16"/>
      <c r="C868" s="16"/>
      <c r="D868" s="16"/>
      <c r="E868" s="16"/>
      <c r="F868" s="17"/>
      <c r="G868" s="17"/>
      <c r="H868" s="17"/>
      <c r="I868" s="17"/>
      <c r="J868" s="17"/>
      <c r="K868" s="17"/>
      <c r="L868" s="17"/>
    </row>
    <row r="869">
      <c r="A869" s="11" t="str">
        <f t="shared" si="1"/>
        <v/>
      </c>
      <c r="B869" s="16"/>
      <c r="C869" s="16"/>
      <c r="D869" s="16"/>
      <c r="E869" s="16"/>
      <c r="F869" s="17"/>
      <c r="G869" s="17"/>
      <c r="H869" s="17"/>
      <c r="I869" s="17"/>
      <c r="J869" s="17"/>
      <c r="K869" s="17"/>
      <c r="L869" s="17"/>
    </row>
    <row r="870">
      <c r="A870" s="11" t="str">
        <f t="shared" si="1"/>
        <v/>
      </c>
      <c r="B870" s="16"/>
      <c r="C870" s="16"/>
      <c r="D870" s="16"/>
      <c r="E870" s="16"/>
      <c r="F870" s="17"/>
      <c r="G870" s="17"/>
      <c r="H870" s="17"/>
      <c r="I870" s="17"/>
      <c r="J870" s="17"/>
      <c r="K870" s="17"/>
      <c r="L870" s="17"/>
    </row>
    <row r="871">
      <c r="A871" s="11" t="str">
        <f t="shared" si="1"/>
        <v/>
      </c>
      <c r="B871" s="16"/>
      <c r="C871" s="16"/>
      <c r="D871" s="16"/>
      <c r="E871" s="16"/>
      <c r="F871" s="17"/>
      <c r="G871" s="17"/>
      <c r="H871" s="17"/>
      <c r="I871" s="17"/>
      <c r="J871" s="17"/>
      <c r="K871" s="17"/>
      <c r="L871" s="17"/>
    </row>
    <row r="872">
      <c r="A872" s="11" t="str">
        <f t="shared" si="1"/>
        <v/>
      </c>
      <c r="B872" s="16"/>
      <c r="C872" s="16"/>
      <c r="D872" s="16"/>
      <c r="E872" s="16"/>
      <c r="F872" s="17"/>
      <c r="G872" s="17"/>
      <c r="H872" s="17"/>
      <c r="I872" s="17"/>
      <c r="J872" s="17"/>
      <c r="K872" s="17"/>
      <c r="L872" s="17"/>
    </row>
    <row r="873">
      <c r="A873" s="11" t="str">
        <f t="shared" si="1"/>
        <v/>
      </c>
      <c r="B873" s="16"/>
      <c r="C873" s="16"/>
      <c r="D873" s="16"/>
      <c r="E873" s="16"/>
      <c r="F873" s="17"/>
      <c r="G873" s="17"/>
      <c r="H873" s="17"/>
      <c r="I873" s="17"/>
      <c r="J873" s="17"/>
      <c r="K873" s="17"/>
      <c r="L873" s="17"/>
    </row>
    <row r="874">
      <c r="A874" s="11" t="str">
        <f t="shared" si="1"/>
        <v/>
      </c>
      <c r="B874" s="16"/>
      <c r="C874" s="16"/>
      <c r="D874" s="16"/>
      <c r="E874" s="16"/>
      <c r="F874" s="17"/>
      <c r="G874" s="17"/>
      <c r="H874" s="17"/>
      <c r="I874" s="17"/>
      <c r="J874" s="17"/>
      <c r="K874" s="17"/>
      <c r="L874" s="17"/>
    </row>
    <row r="875">
      <c r="A875" s="11" t="str">
        <f t="shared" si="1"/>
        <v/>
      </c>
      <c r="B875" s="16"/>
      <c r="C875" s="16"/>
      <c r="D875" s="16"/>
      <c r="E875" s="16"/>
      <c r="F875" s="17"/>
      <c r="G875" s="17"/>
      <c r="H875" s="17"/>
      <c r="I875" s="17"/>
      <c r="J875" s="17"/>
      <c r="K875" s="17"/>
      <c r="L875" s="17"/>
    </row>
    <row r="876">
      <c r="A876" s="11" t="str">
        <f t="shared" si="1"/>
        <v/>
      </c>
      <c r="B876" s="16"/>
      <c r="C876" s="16"/>
      <c r="D876" s="16"/>
      <c r="E876" s="16"/>
      <c r="F876" s="17"/>
      <c r="G876" s="17"/>
      <c r="H876" s="17"/>
      <c r="I876" s="17"/>
      <c r="J876" s="17"/>
      <c r="K876" s="17"/>
      <c r="L876" s="17"/>
    </row>
    <row r="877">
      <c r="A877" s="11" t="str">
        <f t="shared" si="1"/>
        <v/>
      </c>
      <c r="B877" s="16"/>
      <c r="C877" s="16"/>
      <c r="D877" s="16"/>
      <c r="E877" s="16"/>
      <c r="F877" s="17"/>
      <c r="G877" s="17"/>
      <c r="H877" s="17"/>
      <c r="I877" s="17"/>
      <c r="J877" s="17"/>
      <c r="K877" s="17"/>
      <c r="L877" s="17"/>
    </row>
    <row r="878">
      <c r="A878" s="11" t="str">
        <f t="shared" si="1"/>
        <v/>
      </c>
      <c r="B878" s="16"/>
      <c r="C878" s="16"/>
      <c r="D878" s="16"/>
      <c r="E878" s="16"/>
      <c r="F878" s="17"/>
      <c r="G878" s="17"/>
      <c r="H878" s="17"/>
      <c r="I878" s="17"/>
      <c r="J878" s="17"/>
      <c r="K878" s="17"/>
      <c r="L878" s="17"/>
    </row>
    <row r="879">
      <c r="A879" s="11" t="str">
        <f t="shared" si="1"/>
        <v/>
      </c>
      <c r="B879" s="16"/>
      <c r="C879" s="16"/>
      <c r="D879" s="16"/>
      <c r="E879" s="16"/>
      <c r="F879" s="17"/>
      <c r="G879" s="17"/>
      <c r="H879" s="17"/>
      <c r="I879" s="17"/>
      <c r="J879" s="17"/>
      <c r="K879" s="17"/>
      <c r="L879" s="17"/>
    </row>
    <row r="880">
      <c r="A880" s="11" t="str">
        <f t="shared" si="1"/>
        <v/>
      </c>
      <c r="B880" s="16"/>
      <c r="C880" s="16"/>
      <c r="D880" s="16"/>
      <c r="E880" s="16"/>
      <c r="F880" s="17"/>
      <c r="G880" s="17"/>
      <c r="H880" s="17"/>
      <c r="I880" s="17"/>
      <c r="J880" s="17"/>
      <c r="K880" s="17"/>
      <c r="L880" s="17"/>
    </row>
    <row r="881">
      <c r="A881" s="11" t="str">
        <f t="shared" si="1"/>
        <v/>
      </c>
      <c r="B881" s="16"/>
      <c r="C881" s="16"/>
      <c r="D881" s="16"/>
      <c r="E881" s="16"/>
      <c r="F881" s="17"/>
      <c r="G881" s="17"/>
      <c r="H881" s="17"/>
      <c r="I881" s="17"/>
      <c r="J881" s="17"/>
      <c r="K881" s="17"/>
      <c r="L881" s="17"/>
    </row>
    <row r="882">
      <c r="A882" s="11" t="str">
        <f t="shared" si="1"/>
        <v/>
      </c>
      <c r="B882" s="16"/>
      <c r="C882" s="16"/>
      <c r="D882" s="16"/>
      <c r="E882" s="16"/>
      <c r="F882" s="17"/>
      <c r="G882" s="17"/>
      <c r="H882" s="17"/>
      <c r="I882" s="17"/>
      <c r="J882" s="17"/>
      <c r="K882" s="17"/>
      <c r="L882" s="17"/>
    </row>
    <row r="883">
      <c r="A883" s="11" t="str">
        <f t="shared" si="1"/>
        <v/>
      </c>
      <c r="B883" s="16"/>
      <c r="C883" s="16"/>
      <c r="D883" s="16"/>
      <c r="E883" s="16"/>
      <c r="F883" s="17"/>
      <c r="G883" s="17"/>
      <c r="H883" s="17"/>
      <c r="I883" s="17"/>
      <c r="J883" s="17"/>
      <c r="K883" s="17"/>
      <c r="L883" s="17"/>
    </row>
    <row r="884">
      <c r="A884" s="11" t="str">
        <f t="shared" si="1"/>
        <v/>
      </c>
      <c r="B884" s="16"/>
      <c r="C884" s="16"/>
      <c r="D884" s="16"/>
      <c r="E884" s="16"/>
      <c r="F884" s="17"/>
      <c r="G884" s="17"/>
      <c r="H884" s="17"/>
      <c r="I884" s="17"/>
      <c r="J884" s="17"/>
      <c r="K884" s="17"/>
      <c r="L884" s="17"/>
    </row>
    <row r="885">
      <c r="A885" s="11" t="str">
        <f t="shared" si="1"/>
        <v/>
      </c>
      <c r="B885" s="16"/>
      <c r="C885" s="16"/>
      <c r="D885" s="16"/>
      <c r="E885" s="16"/>
      <c r="F885" s="17"/>
      <c r="G885" s="17"/>
      <c r="H885" s="17"/>
      <c r="I885" s="17"/>
      <c r="J885" s="17"/>
      <c r="K885" s="17"/>
      <c r="L885" s="17"/>
    </row>
    <row r="886">
      <c r="A886" s="11" t="str">
        <f t="shared" si="1"/>
        <v/>
      </c>
      <c r="B886" s="16"/>
      <c r="C886" s="16"/>
      <c r="D886" s="16"/>
      <c r="E886" s="16"/>
      <c r="F886" s="17"/>
      <c r="G886" s="17"/>
      <c r="H886" s="17"/>
      <c r="I886" s="17"/>
      <c r="J886" s="17"/>
      <c r="K886" s="17"/>
      <c r="L886" s="17"/>
    </row>
    <row r="887">
      <c r="A887" s="11" t="str">
        <f t="shared" si="1"/>
        <v/>
      </c>
      <c r="B887" s="16"/>
      <c r="C887" s="16"/>
      <c r="D887" s="16"/>
      <c r="E887" s="16"/>
      <c r="F887" s="17"/>
      <c r="G887" s="17"/>
      <c r="H887" s="17"/>
      <c r="I887" s="17"/>
      <c r="J887" s="17"/>
      <c r="K887" s="17"/>
      <c r="L887" s="17"/>
    </row>
    <row r="888">
      <c r="A888" s="11" t="str">
        <f t="shared" si="1"/>
        <v/>
      </c>
      <c r="B888" s="16"/>
      <c r="C888" s="16"/>
      <c r="D888" s="16"/>
      <c r="E888" s="16"/>
      <c r="F888" s="17"/>
      <c r="G888" s="17"/>
      <c r="H888" s="17"/>
      <c r="I888" s="17"/>
      <c r="J888" s="17"/>
      <c r="K888" s="17"/>
      <c r="L888" s="17"/>
    </row>
    <row r="889">
      <c r="A889" s="11" t="str">
        <f t="shared" si="1"/>
        <v/>
      </c>
      <c r="B889" s="16"/>
      <c r="C889" s="16"/>
      <c r="D889" s="16"/>
      <c r="E889" s="16"/>
      <c r="F889" s="17"/>
      <c r="G889" s="17"/>
      <c r="H889" s="17"/>
      <c r="I889" s="17"/>
      <c r="J889" s="17"/>
      <c r="K889" s="17"/>
      <c r="L889" s="17"/>
    </row>
    <row r="890">
      <c r="A890" s="11" t="str">
        <f t="shared" si="1"/>
        <v/>
      </c>
      <c r="B890" s="16"/>
      <c r="C890" s="16"/>
      <c r="D890" s="16"/>
      <c r="E890" s="16"/>
      <c r="F890" s="17"/>
      <c r="G890" s="17"/>
      <c r="H890" s="17"/>
      <c r="I890" s="17"/>
      <c r="J890" s="17"/>
      <c r="K890" s="17"/>
      <c r="L890" s="17"/>
    </row>
    <row r="891">
      <c r="A891" s="11" t="str">
        <f t="shared" si="1"/>
        <v/>
      </c>
      <c r="B891" s="16"/>
      <c r="C891" s="16"/>
      <c r="D891" s="16"/>
      <c r="E891" s="16"/>
      <c r="F891" s="17"/>
      <c r="G891" s="17"/>
      <c r="H891" s="17"/>
      <c r="I891" s="17"/>
      <c r="J891" s="17"/>
      <c r="K891" s="17"/>
      <c r="L891" s="17"/>
    </row>
    <row r="892">
      <c r="A892" s="11" t="str">
        <f t="shared" si="1"/>
        <v/>
      </c>
      <c r="B892" s="16"/>
      <c r="C892" s="16"/>
      <c r="D892" s="16"/>
      <c r="E892" s="16"/>
      <c r="F892" s="17"/>
      <c r="G892" s="17"/>
      <c r="H892" s="17"/>
      <c r="I892" s="17"/>
      <c r="J892" s="17"/>
      <c r="K892" s="17"/>
      <c r="L892" s="17"/>
    </row>
    <row r="893">
      <c r="A893" s="11" t="str">
        <f t="shared" si="1"/>
        <v/>
      </c>
      <c r="B893" s="16"/>
      <c r="C893" s="16"/>
      <c r="D893" s="16"/>
      <c r="E893" s="16"/>
      <c r="F893" s="17"/>
      <c r="G893" s="17"/>
      <c r="H893" s="17"/>
      <c r="I893" s="17"/>
      <c r="J893" s="17"/>
      <c r="K893" s="17"/>
      <c r="L893" s="17"/>
    </row>
    <row r="894">
      <c r="A894" s="11" t="str">
        <f t="shared" si="1"/>
        <v/>
      </c>
      <c r="B894" s="16"/>
      <c r="C894" s="16"/>
      <c r="D894" s="16"/>
      <c r="E894" s="16"/>
      <c r="F894" s="17"/>
      <c r="G894" s="17"/>
      <c r="H894" s="17"/>
      <c r="I894" s="17"/>
      <c r="J894" s="17"/>
      <c r="K894" s="17"/>
      <c r="L894" s="17"/>
    </row>
    <row r="895">
      <c r="A895" s="11" t="str">
        <f t="shared" si="1"/>
        <v/>
      </c>
      <c r="B895" s="16"/>
      <c r="C895" s="16"/>
      <c r="D895" s="16"/>
      <c r="E895" s="16"/>
      <c r="F895" s="17"/>
      <c r="G895" s="17"/>
      <c r="H895" s="17"/>
      <c r="I895" s="17"/>
      <c r="J895" s="17"/>
      <c r="K895" s="17"/>
      <c r="L895" s="17"/>
    </row>
    <row r="896">
      <c r="A896" s="11" t="str">
        <f t="shared" si="1"/>
        <v/>
      </c>
      <c r="B896" s="16"/>
      <c r="C896" s="16"/>
      <c r="D896" s="16"/>
      <c r="E896" s="16"/>
      <c r="F896" s="17"/>
      <c r="G896" s="17"/>
      <c r="H896" s="17"/>
      <c r="I896" s="17"/>
      <c r="J896" s="17"/>
      <c r="K896" s="17"/>
      <c r="L896" s="17"/>
    </row>
    <row r="897">
      <c r="A897" s="11" t="str">
        <f t="shared" si="1"/>
        <v/>
      </c>
      <c r="B897" s="16"/>
      <c r="C897" s="16"/>
      <c r="D897" s="16"/>
      <c r="E897" s="16"/>
      <c r="F897" s="17"/>
      <c r="G897" s="17"/>
      <c r="H897" s="17"/>
      <c r="I897" s="17"/>
      <c r="J897" s="17"/>
      <c r="K897" s="17"/>
      <c r="L897" s="17"/>
    </row>
    <row r="898">
      <c r="A898" s="11" t="str">
        <f t="shared" si="1"/>
        <v/>
      </c>
      <c r="B898" s="16"/>
      <c r="C898" s="16"/>
      <c r="D898" s="16"/>
      <c r="E898" s="16"/>
      <c r="F898" s="17"/>
      <c r="G898" s="17"/>
      <c r="H898" s="17"/>
      <c r="I898" s="17"/>
      <c r="J898" s="17"/>
      <c r="K898" s="17"/>
      <c r="L898" s="17"/>
    </row>
    <row r="899">
      <c r="A899" s="11" t="str">
        <f t="shared" si="1"/>
        <v/>
      </c>
      <c r="B899" s="16"/>
      <c r="C899" s="16"/>
      <c r="D899" s="16"/>
      <c r="E899" s="16"/>
      <c r="F899" s="17"/>
      <c r="G899" s="17"/>
      <c r="H899" s="17"/>
      <c r="I899" s="17"/>
      <c r="J899" s="17"/>
      <c r="K899" s="17"/>
      <c r="L899" s="17"/>
    </row>
    <row r="900">
      <c r="A900" s="11" t="str">
        <f t="shared" si="1"/>
        <v/>
      </c>
      <c r="B900" s="16"/>
      <c r="C900" s="16"/>
      <c r="D900" s="16"/>
      <c r="E900" s="16"/>
      <c r="F900" s="17"/>
      <c r="G900" s="17"/>
      <c r="H900" s="17"/>
      <c r="I900" s="17"/>
      <c r="J900" s="17"/>
      <c r="K900" s="17"/>
      <c r="L900" s="17"/>
    </row>
    <row r="901">
      <c r="A901" s="11" t="str">
        <f t="shared" si="1"/>
        <v/>
      </c>
      <c r="B901" s="16"/>
      <c r="C901" s="16"/>
      <c r="D901" s="16"/>
      <c r="E901" s="16"/>
      <c r="F901" s="17"/>
      <c r="G901" s="17"/>
      <c r="H901" s="17"/>
      <c r="I901" s="17"/>
      <c r="J901" s="17"/>
      <c r="K901" s="17"/>
      <c r="L901" s="17"/>
    </row>
    <row r="902">
      <c r="A902" s="11" t="str">
        <f t="shared" si="1"/>
        <v/>
      </c>
      <c r="B902" s="16"/>
      <c r="C902" s="16"/>
      <c r="D902" s="16"/>
      <c r="E902" s="16"/>
      <c r="F902" s="17"/>
      <c r="G902" s="17"/>
      <c r="H902" s="17"/>
      <c r="I902" s="17"/>
      <c r="J902" s="17"/>
      <c r="K902" s="17"/>
      <c r="L902" s="17"/>
    </row>
    <row r="903">
      <c r="A903" s="11" t="str">
        <f t="shared" si="1"/>
        <v/>
      </c>
      <c r="B903" s="16"/>
      <c r="C903" s="16"/>
      <c r="D903" s="16"/>
      <c r="E903" s="16"/>
      <c r="F903" s="17"/>
      <c r="G903" s="17"/>
      <c r="H903" s="17"/>
      <c r="I903" s="17"/>
      <c r="J903" s="17"/>
      <c r="K903" s="17"/>
      <c r="L903" s="17"/>
    </row>
    <row r="904">
      <c r="A904" s="11" t="str">
        <f t="shared" si="1"/>
        <v/>
      </c>
      <c r="B904" s="16"/>
      <c r="C904" s="16"/>
      <c r="D904" s="16"/>
      <c r="E904" s="16"/>
      <c r="F904" s="17"/>
      <c r="G904" s="17"/>
      <c r="H904" s="17"/>
      <c r="I904" s="17"/>
      <c r="J904" s="17"/>
      <c r="K904" s="17"/>
      <c r="L904" s="17"/>
    </row>
    <row r="905">
      <c r="A905" s="11" t="str">
        <f t="shared" si="1"/>
        <v/>
      </c>
      <c r="B905" s="16"/>
      <c r="C905" s="16"/>
      <c r="D905" s="16"/>
      <c r="E905" s="16"/>
      <c r="F905" s="17"/>
      <c r="G905" s="17"/>
      <c r="H905" s="17"/>
      <c r="I905" s="17"/>
      <c r="J905" s="17"/>
      <c r="K905" s="17"/>
      <c r="L905" s="17"/>
    </row>
    <row r="906">
      <c r="A906" s="11" t="str">
        <f t="shared" si="1"/>
        <v/>
      </c>
      <c r="B906" s="16"/>
      <c r="C906" s="16"/>
      <c r="D906" s="16"/>
      <c r="E906" s="16"/>
      <c r="F906" s="17"/>
      <c r="G906" s="17"/>
      <c r="H906" s="17"/>
      <c r="I906" s="17"/>
      <c r="J906" s="17"/>
      <c r="K906" s="17"/>
      <c r="L906" s="17"/>
    </row>
    <row r="907">
      <c r="A907" s="11" t="str">
        <f t="shared" si="1"/>
        <v/>
      </c>
      <c r="B907" s="16"/>
      <c r="C907" s="16"/>
      <c r="D907" s="16"/>
      <c r="E907" s="16"/>
      <c r="F907" s="17"/>
      <c r="G907" s="17"/>
      <c r="H907" s="17"/>
      <c r="I907" s="17"/>
      <c r="J907" s="17"/>
      <c r="K907" s="17"/>
      <c r="L907" s="17"/>
    </row>
    <row r="908">
      <c r="A908" s="11" t="str">
        <f t="shared" si="1"/>
        <v/>
      </c>
      <c r="B908" s="16"/>
      <c r="C908" s="16"/>
      <c r="D908" s="16"/>
      <c r="E908" s="16"/>
      <c r="F908" s="17"/>
      <c r="G908" s="17"/>
      <c r="H908" s="17"/>
      <c r="I908" s="17"/>
      <c r="J908" s="17"/>
      <c r="K908" s="17"/>
      <c r="L908" s="17"/>
    </row>
    <row r="909">
      <c r="A909" s="11" t="str">
        <f t="shared" si="1"/>
        <v/>
      </c>
      <c r="B909" s="16"/>
      <c r="C909" s="16"/>
      <c r="D909" s="16"/>
      <c r="E909" s="16"/>
      <c r="F909" s="17"/>
      <c r="G909" s="17"/>
      <c r="H909" s="17"/>
      <c r="I909" s="17"/>
      <c r="J909" s="17"/>
      <c r="K909" s="17"/>
      <c r="L909" s="17"/>
    </row>
    <row r="910">
      <c r="A910" s="11" t="str">
        <f t="shared" si="1"/>
        <v/>
      </c>
      <c r="B910" s="16"/>
      <c r="C910" s="16"/>
      <c r="D910" s="16"/>
      <c r="E910" s="16"/>
      <c r="F910" s="17"/>
      <c r="G910" s="17"/>
      <c r="H910" s="17"/>
      <c r="I910" s="17"/>
      <c r="J910" s="17"/>
      <c r="K910" s="17"/>
      <c r="L910" s="17"/>
    </row>
    <row r="911">
      <c r="A911" s="11" t="str">
        <f t="shared" si="1"/>
        <v/>
      </c>
      <c r="B911" s="16"/>
      <c r="C911" s="16"/>
      <c r="D911" s="16"/>
      <c r="E911" s="16"/>
      <c r="F911" s="17"/>
      <c r="G911" s="17"/>
      <c r="H911" s="17"/>
      <c r="I911" s="17"/>
      <c r="J911" s="17"/>
      <c r="K911" s="17"/>
      <c r="L911" s="17"/>
    </row>
    <row r="912">
      <c r="A912" s="11" t="str">
        <f t="shared" si="1"/>
        <v/>
      </c>
      <c r="B912" s="16"/>
      <c r="C912" s="16"/>
      <c r="D912" s="16"/>
      <c r="E912" s="16"/>
      <c r="F912" s="17"/>
      <c r="G912" s="17"/>
      <c r="H912" s="17"/>
      <c r="I912" s="17"/>
      <c r="J912" s="17"/>
      <c r="K912" s="17"/>
      <c r="L912" s="17"/>
    </row>
    <row r="913">
      <c r="A913" s="11" t="str">
        <f t="shared" si="1"/>
        <v/>
      </c>
      <c r="B913" s="16"/>
      <c r="C913" s="16"/>
      <c r="D913" s="16"/>
      <c r="E913" s="16"/>
      <c r="F913" s="17"/>
      <c r="G913" s="17"/>
      <c r="H913" s="17"/>
      <c r="I913" s="17"/>
      <c r="J913" s="17"/>
      <c r="K913" s="17"/>
      <c r="L913" s="17"/>
    </row>
    <row r="914">
      <c r="A914" s="11" t="str">
        <f t="shared" si="1"/>
        <v/>
      </c>
      <c r="B914" s="16"/>
      <c r="C914" s="16"/>
      <c r="D914" s="16"/>
      <c r="E914" s="16"/>
      <c r="F914" s="17"/>
      <c r="G914" s="17"/>
      <c r="H914" s="17"/>
      <c r="I914" s="17"/>
      <c r="J914" s="17"/>
      <c r="K914" s="17"/>
      <c r="L914" s="17"/>
    </row>
    <row r="915">
      <c r="A915" s="11" t="str">
        <f t="shared" si="1"/>
        <v/>
      </c>
      <c r="B915" s="16"/>
      <c r="C915" s="16"/>
      <c r="D915" s="16"/>
      <c r="E915" s="16"/>
      <c r="F915" s="17"/>
      <c r="G915" s="17"/>
      <c r="H915" s="17"/>
      <c r="I915" s="17"/>
      <c r="J915" s="17"/>
      <c r="K915" s="17"/>
      <c r="L915" s="17"/>
    </row>
    <row r="916">
      <c r="A916" s="11" t="str">
        <f t="shared" si="1"/>
        <v/>
      </c>
      <c r="B916" s="16"/>
      <c r="C916" s="16"/>
      <c r="D916" s="16"/>
      <c r="E916" s="16"/>
      <c r="F916" s="17"/>
      <c r="G916" s="17"/>
      <c r="H916" s="17"/>
      <c r="I916" s="17"/>
      <c r="J916" s="17"/>
      <c r="K916" s="17"/>
      <c r="L916" s="17"/>
    </row>
    <row r="917">
      <c r="A917" s="11" t="str">
        <f t="shared" si="1"/>
        <v/>
      </c>
      <c r="B917" s="16"/>
      <c r="C917" s="16"/>
      <c r="D917" s="16"/>
      <c r="E917" s="16"/>
      <c r="F917" s="17"/>
      <c r="G917" s="17"/>
      <c r="H917" s="17"/>
      <c r="I917" s="17"/>
      <c r="J917" s="17"/>
      <c r="K917" s="17"/>
      <c r="L917" s="17"/>
    </row>
    <row r="918">
      <c r="A918" s="11" t="str">
        <f t="shared" si="1"/>
        <v/>
      </c>
      <c r="B918" s="16"/>
      <c r="C918" s="16"/>
      <c r="D918" s="16"/>
      <c r="E918" s="16"/>
      <c r="F918" s="17"/>
      <c r="G918" s="17"/>
      <c r="H918" s="17"/>
      <c r="I918" s="17"/>
      <c r="J918" s="17"/>
      <c r="K918" s="17"/>
      <c r="L918" s="17"/>
    </row>
    <row r="919">
      <c r="A919" s="11" t="str">
        <f t="shared" si="1"/>
        <v/>
      </c>
      <c r="B919" s="16"/>
      <c r="C919" s="16"/>
      <c r="D919" s="16"/>
      <c r="E919" s="16"/>
      <c r="F919" s="17"/>
      <c r="G919" s="17"/>
      <c r="H919" s="17"/>
      <c r="I919" s="17"/>
      <c r="J919" s="17"/>
      <c r="K919" s="17"/>
      <c r="L919" s="17"/>
    </row>
    <row r="920">
      <c r="A920" s="11" t="str">
        <f t="shared" si="1"/>
        <v/>
      </c>
      <c r="B920" s="16"/>
      <c r="C920" s="16"/>
      <c r="D920" s="16"/>
      <c r="E920" s="16"/>
      <c r="F920" s="17"/>
      <c r="G920" s="17"/>
      <c r="H920" s="17"/>
      <c r="I920" s="17"/>
      <c r="J920" s="17"/>
      <c r="K920" s="17"/>
      <c r="L920" s="17"/>
    </row>
    <row r="921">
      <c r="A921" s="11" t="str">
        <f t="shared" si="1"/>
        <v/>
      </c>
      <c r="B921" s="16"/>
      <c r="C921" s="16"/>
      <c r="D921" s="16"/>
      <c r="E921" s="16"/>
      <c r="F921" s="17"/>
      <c r="G921" s="17"/>
      <c r="H921" s="17"/>
      <c r="I921" s="17"/>
      <c r="J921" s="17"/>
      <c r="K921" s="17"/>
      <c r="L921" s="17"/>
    </row>
    <row r="922">
      <c r="A922" s="11" t="str">
        <f t="shared" si="1"/>
        <v/>
      </c>
      <c r="B922" s="16"/>
      <c r="C922" s="16"/>
      <c r="D922" s="16"/>
      <c r="E922" s="16"/>
      <c r="F922" s="17"/>
      <c r="G922" s="17"/>
      <c r="H922" s="17"/>
      <c r="I922" s="17"/>
      <c r="J922" s="17"/>
      <c r="K922" s="17"/>
      <c r="L922" s="17"/>
    </row>
    <row r="923">
      <c r="A923" s="11" t="str">
        <f t="shared" si="1"/>
        <v/>
      </c>
      <c r="B923" s="16"/>
      <c r="C923" s="16"/>
      <c r="D923" s="16"/>
      <c r="E923" s="16"/>
      <c r="F923" s="17"/>
      <c r="G923" s="17"/>
      <c r="H923" s="17"/>
      <c r="I923" s="17"/>
      <c r="J923" s="17"/>
      <c r="K923" s="17"/>
      <c r="L923" s="17"/>
    </row>
    <row r="924">
      <c r="A924" s="11" t="str">
        <f t="shared" si="1"/>
        <v/>
      </c>
      <c r="B924" s="16"/>
      <c r="C924" s="16"/>
      <c r="D924" s="16"/>
      <c r="E924" s="16"/>
      <c r="F924" s="17"/>
      <c r="G924" s="17"/>
      <c r="H924" s="17"/>
      <c r="I924" s="17"/>
      <c r="J924" s="17"/>
      <c r="K924" s="17"/>
      <c r="L924" s="17"/>
    </row>
    <row r="925">
      <c r="A925" s="11" t="str">
        <f t="shared" si="1"/>
        <v/>
      </c>
      <c r="B925" s="16"/>
      <c r="C925" s="16"/>
      <c r="D925" s="16"/>
      <c r="E925" s="16"/>
      <c r="F925" s="17"/>
      <c r="G925" s="17"/>
      <c r="H925" s="17"/>
      <c r="I925" s="17"/>
      <c r="J925" s="17"/>
      <c r="K925" s="17"/>
      <c r="L925" s="17"/>
    </row>
    <row r="926">
      <c r="A926" s="11" t="str">
        <f t="shared" si="1"/>
        <v/>
      </c>
      <c r="B926" s="16"/>
      <c r="C926" s="16"/>
      <c r="D926" s="16"/>
      <c r="E926" s="16"/>
      <c r="F926" s="17"/>
      <c r="G926" s="17"/>
      <c r="H926" s="17"/>
      <c r="I926" s="17"/>
      <c r="J926" s="17"/>
      <c r="K926" s="17"/>
      <c r="L926" s="17"/>
    </row>
    <row r="927">
      <c r="A927" s="11" t="str">
        <f t="shared" si="1"/>
        <v/>
      </c>
      <c r="B927" s="16"/>
      <c r="C927" s="16"/>
      <c r="D927" s="16"/>
      <c r="E927" s="16"/>
      <c r="F927" s="17"/>
      <c r="G927" s="17"/>
      <c r="H927" s="17"/>
      <c r="I927" s="17"/>
      <c r="J927" s="17"/>
      <c r="K927" s="17"/>
      <c r="L927" s="17"/>
    </row>
    <row r="928">
      <c r="A928" s="11" t="str">
        <f t="shared" si="1"/>
        <v/>
      </c>
      <c r="B928" s="16"/>
      <c r="C928" s="16"/>
      <c r="D928" s="16"/>
      <c r="E928" s="16"/>
      <c r="F928" s="17"/>
      <c r="G928" s="17"/>
      <c r="H928" s="17"/>
      <c r="I928" s="17"/>
      <c r="J928" s="17"/>
      <c r="K928" s="17"/>
      <c r="L928" s="17"/>
    </row>
    <row r="929">
      <c r="A929" s="11" t="str">
        <f t="shared" si="1"/>
        <v/>
      </c>
      <c r="B929" s="16"/>
      <c r="C929" s="16"/>
      <c r="D929" s="16"/>
      <c r="E929" s="16"/>
      <c r="F929" s="17"/>
      <c r="G929" s="17"/>
      <c r="H929" s="17"/>
      <c r="I929" s="17"/>
      <c r="J929" s="17"/>
      <c r="K929" s="17"/>
      <c r="L929" s="17"/>
    </row>
    <row r="930">
      <c r="A930" s="11" t="str">
        <f t="shared" si="1"/>
        <v/>
      </c>
      <c r="B930" s="16"/>
      <c r="C930" s="16"/>
      <c r="D930" s="16"/>
      <c r="E930" s="16"/>
      <c r="F930" s="17"/>
      <c r="G930" s="17"/>
      <c r="H930" s="17"/>
      <c r="I930" s="17"/>
      <c r="J930" s="17"/>
      <c r="K930" s="17"/>
      <c r="L930" s="17"/>
    </row>
    <row r="931">
      <c r="A931" s="11" t="str">
        <f t="shared" si="1"/>
        <v/>
      </c>
      <c r="B931" s="16"/>
      <c r="C931" s="16"/>
      <c r="D931" s="16"/>
      <c r="E931" s="16"/>
      <c r="F931" s="17"/>
      <c r="G931" s="17"/>
      <c r="H931" s="17"/>
      <c r="I931" s="17"/>
      <c r="J931" s="17"/>
      <c r="K931" s="17"/>
      <c r="L931" s="17"/>
    </row>
    <row r="932">
      <c r="A932" s="11" t="str">
        <f t="shared" si="1"/>
        <v/>
      </c>
      <c r="B932" s="16"/>
      <c r="C932" s="16"/>
      <c r="D932" s="16"/>
      <c r="E932" s="16"/>
      <c r="F932" s="17"/>
      <c r="G932" s="17"/>
      <c r="H932" s="17"/>
      <c r="I932" s="17"/>
      <c r="J932" s="17"/>
      <c r="K932" s="17"/>
      <c r="L932" s="17"/>
    </row>
    <row r="933">
      <c r="A933" s="11" t="str">
        <f t="shared" si="1"/>
        <v/>
      </c>
      <c r="B933" s="16"/>
      <c r="C933" s="16"/>
      <c r="D933" s="16"/>
      <c r="E933" s="16"/>
      <c r="F933" s="17"/>
      <c r="G933" s="17"/>
      <c r="H933" s="17"/>
      <c r="I933" s="17"/>
      <c r="J933" s="17"/>
      <c r="K933" s="17"/>
      <c r="L933" s="17"/>
    </row>
    <row r="934">
      <c r="A934" s="11" t="str">
        <f t="shared" si="1"/>
        <v/>
      </c>
      <c r="B934" s="16"/>
      <c r="C934" s="16"/>
      <c r="D934" s="16"/>
      <c r="E934" s="16"/>
      <c r="F934" s="17"/>
      <c r="G934" s="17"/>
      <c r="H934" s="17"/>
      <c r="I934" s="17"/>
      <c r="J934" s="17"/>
      <c r="K934" s="17"/>
      <c r="L934" s="17"/>
    </row>
    <row r="935">
      <c r="A935" s="11" t="str">
        <f t="shared" si="1"/>
        <v/>
      </c>
      <c r="B935" s="16"/>
      <c r="C935" s="16"/>
      <c r="D935" s="16"/>
      <c r="E935" s="16"/>
      <c r="F935" s="17"/>
      <c r="G935" s="17"/>
      <c r="H935" s="17"/>
      <c r="I935" s="17"/>
      <c r="J935" s="17"/>
      <c r="K935" s="17"/>
      <c r="L935" s="17"/>
    </row>
    <row r="936">
      <c r="A936" s="11" t="str">
        <f t="shared" si="1"/>
        <v/>
      </c>
      <c r="B936" s="16"/>
      <c r="C936" s="16"/>
      <c r="D936" s="16"/>
      <c r="E936" s="16"/>
      <c r="F936" s="17"/>
      <c r="G936" s="17"/>
      <c r="H936" s="17"/>
      <c r="I936" s="17"/>
      <c r="J936" s="17"/>
      <c r="K936" s="17"/>
      <c r="L936" s="17"/>
    </row>
    <row r="937">
      <c r="A937" s="11" t="str">
        <f t="shared" si="1"/>
        <v/>
      </c>
      <c r="B937" s="16"/>
      <c r="C937" s="16"/>
      <c r="D937" s="16"/>
      <c r="E937" s="16"/>
      <c r="F937" s="17"/>
      <c r="G937" s="17"/>
      <c r="H937" s="17"/>
      <c r="I937" s="17"/>
      <c r="J937" s="17"/>
      <c r="K937" s="17"/>
      <c r="L937" s="17"/>
    </row>
    <row r="938">
      <c r="A938" s="11" t="str">
        <f t="shared" si="1"/>
        <v/>
      </c>
      <c r="B938" s="16"/>
      <c r="C938" s="16"/>
      <c r="D938" s="16"/>
      <c r="E938" s="16"/>
      <c r="F938" s="17"/>
      <c r="G938" s="17"/>
      <c r="H938" s="17"/>
      <c r="I938" s="17"/>
      <c r="J938" s="17"/>
      <c r="K938" s="17"/>
      <c r="L938" s="17"/>
    </row>
    <row r="939">
      <c r="A939" s="11" t="str">
        <f t="shared" si="1"/>
        <v/>
      </c>
      <c r="B939" s="16"/>
      <c r="C939" s="16"/>
      <c r="D939" s="16"/>
      <c r="E939" s="16"/>
      <c r="F939" s="17"/>
      <c r="G939" s="17"/>
      <c r="H939" s="17"/>
      <c r="I939" s="17"/>
      <c r="J939" s="17"/>
      <c r="K939" s="17"/>
      <c r="L939" s="17"/>
    </row>
    <row r="940">
      <c r="A940" s="11" t="str">
        <f t="shared" si="1"/>
        <v/>
      </c>
      <c r="B940" s="16"/>
      <c r="C940" s="16"/>
      <c r="D940" s="16"/>
      <c r="E940" s="16"/>
      <c r="F940" s="17"/>
      <c r="G940" s="17"/>
      <c r="H940" s="17"/>
      <c r="I940" s="17"/>
      <c r="J940" s="17"/>
      <c r="K940" s="17"/>
      <c r="L940" s="17"/>
    </row>
    <row r="941">
      <c r="A941" s="11" t="str">
        <f t="shared" si="1"/>
        <v/>
      </c>
      <c r="B941" s="16"/>
      <c r="C941" s="16"/>
      <c r="D941" s="16"/>
      <c r="E941" s="16"/>
      <c r="F941" s="17"/>
      <c r="G941" s="17"/>
      <c r="H941" s="17"/>
      <c r="I941" s="17"/>
      <c r="J941" s="17"/>
      <c r="K941" s="17"/>
      <c r="L941" s="17"/>
    </row>
    <row r="942">
      <c r="A942" s="11" t="str">
        <f t="shared" si="1"/>
        <v/>
      </c>
      <c r="B942" s="16"/>
      <c r="C942" s="16"/>
      <c r="D942" s="16"/>
      <c r="E942" s="16"/>
      <c r="F942" s="17"/>
      <c r="G942" s="17"/>
      <c r="H942" s="17"/>
      <c r="I942" s="17"/>
      <c r="J942" s="17"/>
      <c r="K942" s="17"/>
      <c r="L942" s="17"/>
    </row>
    <row r="943">
      <c r="A943" s="11" t="str">
        <f t="shared" si="1"/>
        <v/>
      </c>
      <c r="B943" s="16"/>
      <c r="C943" s="16"/>
      <c r="D943" s="16"/>
      <c r="E943" s="16"/>
      <c r="F943" s="17"/>
      <c r="G943" s="17"/>
      <c r="H943" s="17"/>
      <c r="I943" s="17"/>
      <c r="J943" s="17"/>
      <c r="K943" s="17"/>
      <c r="L943" s="17"/>
    </row>
    <row r="944">
      <c r="A944" s="11" t="str">
        <f t="shared" si="1"/>
        <v/>
      </c>
      <c r="B944" s="16"/>
      <c r="C944" s="16"/>
      <c r="D944" s="16"/>
      <c r="E944" s="16"/>
      <c r="F944" s="17"/>
      <c r="G944" s="17"/>
      <c r="H944" s="17"/>
      <c r="I944" s="17"/>
      <c r="J944" s="17"/>
      <c r="K944" s="17"/>
      <c r="L944" s="17"/>
    </row>
    <row r="945">
      <c r="A945" s="11" t="str">
        <f t="shared" si="1"/>
        <v/>
      </c>
      <c r="B945" s="16"/>
      <c r="C945" s="16"/>
      <c r="D945" s="16"/>
      <c r="E945" s="16"/>
      <c r="F945" s="17"/>
      <c r="G945" s="17"/>
      <c r="H945" s="17"/>
      <c r="I945" s="17"/>
      <c r="J945" s="17"/>
      <c r="K945" s="17"/>
      <c r="L945" s="17"/>
    </row>
    <row r="946">
      <c r="A946" s="11" t="str">
        <f t="shared" si="1"/>
        <v/>
      </c>
      <c r="B946" s="16"/>
      <c r="C946" s="16"/>
      <c r="D946" s="16"/>
      <c r="E946" s="16"/>
      <c r="F946" s="17"/>
      <c r="G946" s="17"/>
      <c r="H946" s="17"/>
      <c r="I946" s="17"/>
      <c r="J946" s="17"/>
      <c r="K946" s="17"/>
      <c r="L946" s="17"/>
    </row>
    <row r="947">
      <c r="A947" s="11" t="str">
        <f t="shared" si="1"/>
        <v/>
      </c>
      <c r="B947" s="16"/>
      <c r="C947" s="16"/>
      <c r="D947" s="16"/>
      <c r="E947" s="16"/>
      <c r="F947" s="17"/>
      <c r="G947" s="17"/>
      <c r="H947" s="17"/>
      <c r="I947" s="17"/>
      <c r="J947" s="17"/>
      <c r="K947" s="17"/>
      <c r="L947" s="17"/>
    </row>
    <row r="948">
      <c r="A948" s="11" t="str">
        <f t="shared" si="1"/>
        <v/>
      </c>
      <c r="B948" s="16"/>
      <c r="C948" s="16"/>
      <c r="D948" s="16"/>
      <c r="E948" s="16"/>
      <c r="F948" s="17"/>
      <c r="G948" s="17"/>
      <c r="H948" s="17"/>
      <c r="I948" s="17"/>
      <c r="J948" s="17"/>
      <c r="K948" s="17"/>
      <c r="L948" s="17"/>
    </row>
    <row r="949">
      <c r="A949" s="11" t="str">
        <f t="shared" si="1"/>
        <v/>
      </c>
      <c r="B949" s="16"/>
      <c r="C949" s="16"/>
      <c r="D949" s="16"/>
      <c r="E949" s="16"/>
      <c r="F949" s="17"/>
      <c r="G949" s="17"/>
      <c r="H949" s="17"/>
      <c r="I949" s="17"/>
      <c r="J949" s="17"/>
      <c r="K949" s="17"/>
      <c r="L949" s="17"/>
    </row>
    <row r="950">
      <c r="A950" s="11" t="str">
        <f t="shared" si="1"/>
        <v/>
      </c>
      <c r="B950" s="16"/>
      <c r="C950" s="16"/>
      <c r="D950" s="16"/>
      <c r="E950" s="16"/>
      <c r="F950" s="17"/>
      <c r="G950" s="17"/>
      <c r="H950" s="17"/>
      <c r="I950" s="17"/>
      <c r="J950" s="17"/>
      <c r="K950" s="17"/>
      <c r="L950" s="17"/>
    </row>
    <row r="951">
      <c r="A951" s="11" t="str">
        <f t="shared" si="1"/>
        <v/>
      </c>
      <c r="B951" s="16"/>
      <c r="C951" s="16"/>
      <c r="D951" s="16"/>
      <c r="E951" s="16"/>
      <c r="F951" s="17"/>
      <c r="G951" s="17"/>
      <c r="H951" s="17"/>
      <c r="I951" s="17"/>
      <c r="J951" s="17"/>
      <c r="K951" s="17"/>
      <c r="L951" s="17"/>
    </row>
    <row r="952">
      <c r="A952" s="11" t="str">
        <f t="shared" si="1"/>
        <v/>
      </c>
      <c r="B952" s="16"/>
      <c r="C952" s="16"/>
      <c r="D952" s="16"/>
      <c r="E952" s="16"/>
      <c r="F952" s="17"/>
      <c r="G952" s="17"/>
      <c r="H952" s="17"/>
      <c r="I952" s="17"/>
      <c r="J952" s="17"/>
      <c r="K952" s="17"/>
      <c r="L952" s="17"/>
    </row>
    <row r="953">
      <c r="A953" s="11" t="str">
        <f t="shared" si="1"/>
        <v/>
      </c>
      <c r="B953" s="16"/>
      <c r="C953" s="16"/>
      <c r="D953" s="16"/>
      <c r="E953" s="16"/>
      <c r="F953" s="17"/>
      <c r="G953" s="17"/>
      <c r="H953" s="17"/>
      <c r="I953" s="17"/>
      <c r="J953" s="17"/>
      <c r="K953" s="17"/>
      <c r="L953" s="17"/>
    </row>
    <row r="954">
      <c r="A954" s="11" t="str">
        <f t="shared" si="1"/>
        <v/>
      </c>
      <c r="B954" s="16"/>
      <c r="C954" s="16"/>
      <c r="D954" s="16"/>
      <c r="E954" s="16"/>
      <c r="F954" s="17"/>
      <c r="G954" s="17"/>
      <c r="H954" s="17"/>
      <c r="I954" s="17"/>
      <c r="J954" s="17"/>
      <c r="K954" s="17"/>
      <c r="L954" s="17"/>
    </row>
    <row r="955">
      <c r="A955" s="11" t="str">
        <f t="shared" si="1"/>
        <v/>
      </c>
      <c r="B955" s="16"/>
      <c r="C955" s="16"/>
      <c r="D955" s="16"/>
      <c r="E955" s="16"/>
      <c r="F955" s="17"/>
      <c r="G955" s="17"/>
      <c r="H955" s="17"/>
      <c r="I955" s="17"/>
      <c r="J955" s="17"/>
      <c r="K955" s="17"/>
      <c r="L955" s="17"/>
    </row>
    <row r="956">
      <c r="A956" s="11" t="str">
        <f t="shared" si="1"/>
        <v/>
      </c>
      <c r="B956" s="16"/>
      <c r="C956" s="16"/>
      <c r="D956" s="16"/>
      <c r="E956" s="16"/>
      <c r="F956" s="17"/>
      <c r="G956" s="17"/>
      <c r="H956" s="17"/>
      <c r="I956" s="17"/>
      <c r="J956" s="17"/>
      <c r="K956" s="17"/>
      <c r="L956" s="17"/>
    </row>
    <row r="957">
      <c r="A957" s="11" t="str">
        <f t="shared" si="1"/>
        <v/>
      </c>
      <c r="B957" s="16"/>
      <c r="C957" s="16"/>
      <c r="D957" s="16"/>
      <c r="E957" s="16"/>
      <c r="F957" s="17"/>
      <c r="G957" s="17"/>
      <c r="H957" s="17"/>
      <c r="I957" s="17"/>
      <c r="J957" s="17"/>
      <c r="K957" s="17"/>
      <c r="L957" s="17"/>
    </row>
    <row r="958">
      <c r="A958" s="11" t="str">
        <f t="shared" si="1"/>
        <v/>
      </c>
      <c r="B958" s="16"/>
      <c r="C958" s="16"/>
      <c r="D958" s="16"/>
      <c r="E958" s="16"/>
      <c r="F958" s="17"/>
      <c r="G958" s="17"/>
      <c r="H958" s="17"/>
      <c r="I958" s="17"/>
      <c r="J958" s="17"/>
      <c r="K958" s="17"/>
      <c r="L958" s="17"/>
    </row>
    <row r="959">
      <c r="A959" s="11" t="str">
        <f t="shared" si="1"/>
        <v/>
      </c>
      <c r="B959" s="16"/>
      <c r="C959" s="16"/>
      <c r="D959" s="16"/>
      <c r="E959" s="16"/>
      <c r="F959" s="17"/>
      <c r="G959" s="17"/>
      <c r="H959" s="17"/>
      <c r="I959" s="17"/>
      <c r="J959" s="17"/>
      <c r="K959" s="17"/>
      <c r="L959" s="17"/>
    </row>
    <row r="960">
      <c r="A960" s="11" t="str">
        <f t="shared" si="1"/>
        <v/>
      </c>
      <c r="B960" s="16"/>
      <c r="C960" s="16"/>
      <c r="D960" s="16"/>
      <c r="E960" s="16"/>
      <c r="F960" s="17"/>
      <c r="G960" s="17"/>
      <c r="H960" s="17"/>
      <c r="I960" s="17"/>
      <c r="J960" s="17"/>
      <c r="K960" s="17"/>
      <c r="L960" s="17"/>
    </row>
    <row r="961">
      <c r="A961" s="11" t="str">
        <f t="shared" si="1"/>
        <v/>
      </c>
      <c r="B961" s="16"/>
      <c r="C961" s="16"/>
      <c r="D961" s="16"/>
      <c r="E961" s="16"/>
      <c r="F961" s="17"/>
      <c r="G961" s="17"/>
      <c r="H961" s="17"/>
      <c r="I961" s="17"/>
      <c r="J961" s="17"/>
      <c r="K961" s="17"/>
      <c r="L961" s="17"/>
    </row>
    <row r="962">
      <c r="A962" s="11" t="str">
        <f t="shared" si="1"/>
        <v/>
      </c>
      <c r="B962" s="16"/>
      <c r="C962" s="16"/>
      <c r="D962" s="16"/>
      <c r="E962" s="16"/>
      <c r="F962" s="17"/>
      <c r="G962" s="17"/>
      <c r="H962" s="17"/>
      <c r="I962" s="17"/>
      <c r="J962" s="17"/>
      <c r="K962" s="17"/>
      <c r="L962" s="17"/>
    </row>
    <row r="963">
      <c r="A963" s="11" t="str">
        <f t="shared" si="1"/>
        <v/>
      </c>
      <c r="B963" s="16"/>
      <c r="C963" s="16"/>
      <c r="D963" s="16"/>
      <c r="E963" s="16"/>
      <c r="F963" s="17"/>
      <c r="G963" s="17"/>
      <c r="H963" s="17"/>
      <c r="I963" s="17"/>
      <c r="J963" s="17"/>
      <c r="K963" s="17"/>
      <c r="L963" s="17"/>
    </row>
    <row r="964">
      <c r="A964" s="11" t="str">
        <f t="shared" si="1"/>
        <v/>
      </c>
      <c r="B964" s="16"/>
      <c r="C964" s="16"/>
      <c r="D964" s="16"/>
      <c r="E964" s="16"/>
      <c r="F964" s="17"/>
      <c r="G964" s="17"/>
      <c r="H964" s="17"/>
      <c r="I964" s="17"/>
      <c r="J964" s="17"/>
      <c r="K964" s="17"/>
      <c r="L964" s="17"/>
    </row>
    <row r="965">
      <c r="A965" s="11" t="str">
        <f t="shared" si="1"/>
        <v/>
      </c>
      <c r="B965" s="16"/>
      <c r="C965" s="16"/>
      <c r="D965" s="16"/>
      <c r="E965" s="16"/>
      <c r="F965" s="17"/>
      <c r="G965" s="17"/>
      <c r="H965" s="17"/>
      <c r="I965" s="17"/>
      <c r="J965" s="17"/>
      <c r="K965" s="17"/>
      <c r="L965" s="17"/>
    </row>
    <row r="966">
      <c r="A966" s="11" t="str">
        <f t="shared" si="1"/>
        <v/>
      </c>
      <c r="B966" s="16"/>
      <c r="C966" s="16"/>
      <c r="D966" s="16"/>
      <c r="E966" s="16"/>
      <c r="F966" s="17"/>
      <c r="G966" s="17"/>
      <c r="H966" s="17"/>
      <c r="I966" s="17"/>
      <c r="J966" s="17"/>
      <c r="K966" s="17"/>
      <c r="L966" s="17"/>
    </row>
    <row r="967">
      <c r="A967" s="11" t="str">
        <f t="shared" si="1"/>
        <v/>
      </c>
      <c r="B967" s="16"/>
      <c r="C967" s="16"/>
      <c r="D967" s="16"/>
      <c r="E967" s="16"/>
      <c r="F967" s="17"/>
      <c r="G967" s="17"/>
      <c r="H967" s="17"/>
      <c r="I967" s="17"/>
      <c r="J967" s="17"/>
      <c r="K967" s="17"/>
      <c r="L967" s="17"/>
    </row>
    <row r="968">
      <c r="A968" s="11" t="str">
        <f t="shared" si="1"/>
        <v/>
      </c>
      <c r="B968" s="16"/>
      <c r="C968" s="16"/>
      <c r="D968" s="16"/>
      <c r="E968" s="16"/>
      <c r="F968" s="17"/>
      <c r="G968" s="17"/>
      <c r="H968" s="17"/>
      <c r="I968" s="17"/>
      <c r="J968" s="17"/>
      <c r="K968" s="17"/>
      <c r="L968" s="17"/>
    </row>
    <row r="969">
      <c r="A969" s="11" t="str">
        <f t="shared" si="1"/>
        <v/>
      </c>
      <c r="B969" s="16"/>
      <c r="C969" s="16"/>
      <c r="D969" s="16"/>
      <c r="E969" s="16"/>
      <c r="F969" s="17"/>
      <c r="G969" s="17"/>
      <c r="H969" s="17"/>
      <c r="I969" s="17"/>
      <c r="J969" s="17"/>
      <c r="K969" s="17"/>
      <c r="L969" s="17"/>
    </row>
    <row r="970">
      <c r="A970" s="11" t="str">
        <f t="shared" si="1"/>
        <v/>
      </c>
      <c r="B970" s="16"/>
      <c r="C970" s="16"/>
      <c r="D970" s="16"/>
      <c r="E970" s="16"/>
      <c r="F970" s="17"/>
      <c r="G970" s="17"/>
      <c r="H970" s="17"/>
      <c r="I970" s="17"/>
      <c r="J970" s="17"/>
      <c r="K970" s="17"/>
      <c r="L970" s="17"/>
    </row>
    <row r="971">
      <c r="A971" s="11" t="str">
        <f t="shared" si="1"/>
        <v/>
      </c>
      <c r="B971" s="16"/>
      <c r="C971" s="16"/>
      <c r="D971" s="16"/>
      <c r="E971" s="16"/>
      <c r="F971" s="17"/>
      <c r="G971" s="17"/>
      <c r="H971" s="17"/>
      <c r="I971" s="17"/>
      <c r="J971" s="17"/>
      <c r="K971" s="17"/>
      <c r="L971" s="17"/>
    </row>
    <row r="972">
      <c r="A972" s="11" t="str">
        <f t="shared" si="1"/>
        <v/>
      </c>
      <c r="B972" s="16"/>
      <c r="C972" s="16"/>
      <c r="D972" s="16"/>
      <c r="E972" s="16"/>
      <c r="F972" s="17"/>
      <c r="G972" s="17"/>
      <c r="H972" s="17"/>
      <c r="I972" s="17"/>
      <c r="J972" s="17"/>
      <c r="K972" s="17"/>
      <c r="L972" s="17"/>
    </row>
    <row r="973">
      <c r="A973" s="11" t="str">
        <f t="shared" si="1"/>
        <v/>
      </c>
      <c r="B973" s="16"/>
      <c r="C973" s="16"/>
      <c r="D973" s="16"/>
      <c r="E973" s="16"/>
      <c r="F973" s="17"/>
      <c r="G973" s="17"/>
      <c r="H973" s="17"/>
      <c r="I973" s="17"/>
      <c r="J973" s="17"/>
      <c r="K973" s="17"/>
      <c r="L973" s="17"/>
    </row>
    <row r="974">
      <c r="A974" s="11" t="str">
        <f t="shared" si="1"/>
        <v/>
      </c>
      <c r="B974" s="16"/>
      <c r="C974" s="16"/>
      <c r="D974" s="16"/>
      <c r="E974" s="16"/>
      <c r="F974" s="17"/>
      <c r="G974" s="17"/>
      <c r="H974" s="17"/>
      <c r="I974" s="17"/>
      <c r="J974" s="17"/>
      <c r="K974" s="17"/>
      <c r="L974" s="17"/>
    </row>
    <row r="975">
      <c r="A975" s="11" t="str">
        <f t="shared" si="1"/>
        <v/>
      </c>
      <c r="B975" s="16"/>
      <c r="C975" s="16"/>
      <c r="D975" s="16"/>
      <c r="E975" s="16"/>
      <c r="F975" s="17"/>
      <c r="G975" s="17"/>
      <c r="H975" s="17"/>
      <c r="I975" s="17"/>
      <c r="J975" s="17"/>
      <c r="K975" s="17"/>
      <c r="L975" s="17"/>
    </row>
    <row r="976">
      <c r="A976" s="11" t="str">
        <f t="shared" si="1"/>
        <v/>
      </c>
      <c r="B976" s="16"/>
      <c r="C976" s="16"/>
      <c r="D976" s="16"/>
      <c r="E976" s="16"/>
      <c r="F976" s="17"/>
      <c r="G976" s="17"/>
      <c r="H976" s="17"/>
      <c r="I976" s="17"/>
      <c r="J976" s="17"/>
      <c r="K976" s="17"/>
      <c r="L976" s="17"/>
    </row>
    <row r="977">
      <c r="A977" s="11" t="str">
        <f t="shared" si="1"/>
        <v/>
      </c>
      <c r="B977" s="16"/>
      <c r="C977" s="16"/>
      <c r="D977" s="16"/>
      <c r="E977" s="16"/>
      <c r="F977" s="17"/>
      <c r="G977" s="17"/>
      <c r="H977" s="17"/>
      <c r="I977" s="17"/>
      <c r="J977" s="17"/>
      <c r="K977" s="17"/>
      <c r="L977" s="17"/>
    </row>
    <row r="978">
      <c r="A978" s="11" t="str">
        <f t="shared" si="1"/>
        <v/>
      </c>
      <c r="B978" s="16"/>
      <c r="C978" s="16"/>
      <c r="D978" s="16"/>
      <c r="E978" s="16"/>
      <c r="F978" s="17"/>
      <c r="G978" s="17"/>
      <c r="H978" s="17"/>
      <c r="I978" s="17"/>
      <c r="J978" s="17"/>
      <c r="K978" s="17"/>
      <c r="L978" s="17"/>
    </row>
    <row r="979">
      <c r="A979" s="11" t="str">
        <f t="shared" si="1"/>
        <v/>
      </c>
      <c r="B979" s="16"/>
      <c r="C979" s="16"/>
      <c r="D979" s="16"/>
      <c r="E979" s="16"/>
      <c r="F979" s="17"/>
      <c r="G979" s="17"/>
      <c r="H979" s="17"/>
      <c r="I979" s="17"/>
      <c r="J979" s="17"/>
      <c r="K979" s="17"/>
      <c r="L979" s="17"/>
    </row>
    <row r="980">
      <c r="A980" s="11" t="str">
        <f t="shared" si="1"/>
        <v/>
      </c>
      <c r="B980" s="16"/>
      <c r="C980" s="16"/>
      <c r="D980" s="16"/>
      <c r="E980" s="16"/>
      <c r="F980" s="17"/>
      <c r="G980" s="17"/>
      <c r="H980" s="17"/>
      <c r="I980" s="17"/>
      <c r="J980" s="17"/>
      <c r="K980" s="17"/>
      <c r="L980" s="17"/>
    </row>
    <row r="981">
      <c r="A981" s="11" t="str">
        <f t="shared" si="1"/>
        <v/>
      </c>
      <c r="B981" s="16"/>
      <c r="C981" s="16"/>
      <c r="D981" s="16"/>
      <c r="E981" s="16"/>
      <c r="F981" s="17"/>
      <c r="G981" s="17"/>
      <c r="H981" s="17"/>
      <c r="I981" s="17"/>
      <c r="J981" s="17"/>
      <c r="K981" s="17"/>
      <c r="L981" s="17"/>
    </row>
    <row r="982">
      <c r="A982" s="11" t="str">
        <f t="shared" si="1"/>
        <v/>
      </c>
      <c r="B982" s="16"/>
      <c r="C982" s="16"/>
      <c r="D982" s="16"/>
      <c r="E982" s="16"/>
      <c r="F982" s="17"/>
      <c r="G982" s="17"/>
      <c r="H982" s="17"/>
      <c r="I982" s="17"/>
      <c r="J982" s="17"/>
      <c r="K982" s="17"/>
      <c r="L982" s="17"/>
    </row>
    <row r="983">
      <c r="A983" s="11" t="str">
        <f t="shared" si="1"/>
        <v/>
      </c>
      <c r="B983" s="16"/>
      <c r="C983" s="16"/>
      <c r="D983" s="16"/>
      <c r="E983" s="16"/>
      <c r="F983" s="17"/>
      <c r="G983" s="17"/>
      <c r="H983" s="17"/>
      <c r="I983" s="17"/>
      <c r="J983" s="17"/>
      <c r="K983" s="17"/>
      <c r="L983" s="17"/>
    </row>
    <row r="984">
      <c r="A984" s="11" t="str">
        <f t="shared" si="1"/>
        <v/>
      </c>
      <c r="B984" s="16"/>
      <c r="C984" s="16"/>
      <c r="D984" s="16"/>
      <c r="E984" s="16"/>
      <c r="F984" s="17"/>
      <c r="G984" s="17"/>
      <c r="H984" s="17"/>
      <c r="I984" s="17"/>
      <c r="J984" s="17"/>
      <c r="K984" s="17"/>
      <c r="L984" s="17"/>
    </row>
    <row r="985">
      <c r="A985" s="11" t="str">
        <f t="shared" si="1"/>
        <v/>
      </c>
      <c r="B985" s="16"/>
      <c r="C985" s="16"/>
      <c r="D985" s="16"/>
      <c r="E985" s="16"/>
      <c r="F985" s="17"/>
      <c r="G985" s="17"/>
      <c r="H985" s="17"/>
      <c r="I985" s="17"/>
      <c r="J985" s="17"/>
      <c r="K985" s="17"/>
      <c r="L985" s="17"/>
    </row>
    <row r="986">
      <c r="A986" s="11" t="str">
        <f t="shared" si="1"/>
        <v/>
      </c>
      <c r="B986" s="16"/>
      <c r="C986" s="16"/>
      <c r="D986" s="16"/>
      <c r="E986" s="16"/>
      <c r="F986" s="17"/>
      <c r="G986" s="17"/>
      <c r="H986" s="17"/>
      <c r="I986" s="17"/>
      <c r="J986" s="17"/>
      <c r="K986" s="17"/>
      <c r="L986" s="17"/>
    </row>
    <row r="987">
      <c r="A987" s="11" t="str">
        <f t="shared" si="1"/>
        <v/>
      </c>
      <c r="B987" s="16"/>
      <c r="C987" s="16"/>
      <c r="D987" s="16"/>
      <c r="E987" s="16"/>
      <c r="F987" s="17"/>
      <c r="G987" s="17"/>
      <c r="H987" s="17"/>
      <c r="I987" s="17"/>
      <c r="J987" s="17"/>
      <c r="K987" s="17"/>
      <c r="L987" s="17"/>
    </row>
    <row r="988">
      <c r="A988" s="11" t="str">
        <f t="shared" si="1"/>
        <v/>
      </c>
      <c r="B988" s="16"/>
      <c r="C988" s="16"/>
      <c r="D988" s="16"/>
      <c r="E988" s="16"/>
      <c r="F988" s="17"/>
      <c r="G988" s="17"/>
      <c r="H988" s="17"/>
      <c r="I988" s="17"/>
      <c r="J988" s="17"/>
      <c r="K988" s="17"/>
      <c r="L988" s="17"/>
    </row>
    <row r="989">
      <c r="A989" s="11" t="str">
        <f t="shared" si="1"/>
        <v/>
      </c>
      <c r="B989" s="16"/>
      <c r="C989" s="16"/>
      <c r="D989" s="16"/>
      <c r="E989" s="16"/>
      <c r="F989" s="17"/>
      <c r="G989" s="17"/>
      <c r="H989" s="17"/>
      <c r="I989" s="17"/>
      <c r="J989" s="17"/>
      <c r="K989" s="17"/>
      <c r="L989" s="17"/>
    </row>
    <row r="990">
      <c r="A990" s="11" t="str">
        <f t="shared" si="1"/>
        <v/>
      </c>
      <c r="B990" s="16"/>
      <c r="C990" s="16"/>
      <c r="D990" s="16"/>
      <c r="E990" s="16"/>
      <c r="F990" s="17"/>
      <c r="G990" s="17"/>
      <c r="H990" s="17"/>
      <c r="I990" s="17"/>
      <c r="J990" s="17"/>
      <c r="K990" s="17"/>
      <c r="L990" s="17"/>
    </row>
    <row r="991">
      <c r="A991" s="11" t="str">
        <f t="shared" si="1"/>
        <v/>
      </c>
      <c r="B991" s="16"/>
      <c r="C991" s="16"/>
      <c r="D991" s="16"/>
      <c r="E991" s="16"/>
      <c r="F991" s="17"/>
      <c r="G991" s="17"/>
      <c r="H991" s="17"/>
      <c r="I991" s="17"/>
      <c r="J991" s="17"/>
      <c r="K991" s="17"/>
      <c r="L991" s="17"/>
    </row>
    <row r="992">
      <c r="A992" s="11" t="str">
        <f t="shared" si="1"/>
        <v/>
      </c>
      <c r="B992" s="16"/>
      <c r="C992" s="16"/>
      <c r="D992" s="16"/>
      <c r="E992" s="16"/>
      <c r="F992" s="17"/>
      <c r="G992" s="17"/>
      <c r="H992" s="17"/>
      <c r="I992" s="17"/>
      <c r="J992" s="17"/>
      <c r="K992" s="17"/>
      <c r="L992" s="17"/>
    </row>
    <row r="993">
      <c r="A993" s="11" t="str">
        <f t="shared" si="1"/>
        <v/>
      </c>
      <c r="B993" s="16"/>
      <c r="C993" s="16"/>
      <c r="D993" s="16"/>
      <c r="E993" s="16"/>
      <c r="F993" s="17"/>
      <c r="G993" s="17"/>
      <c r="H993" s="17"/>
      <c r="I993" s="17"/>
      <c r="J993" s="17"/>
      <c r="K993" s="17"/>
      <c r="L993" s="17"/>
    </row>
    <row r="994">
      <c r="A994" s="11" t="str">
        <f t="shared" si="1"/>
        <v/>
      </c>
      <c r="B994" s="16"/>
      <c r="C994" s="16"/>
      <c r="D994" s="16"/>
      <c r="E994" s="16"/>
      <c r="F994" s="17"/>
      <c r="G994" s="17"/>
      <c r="H994" s="17"/>
      <c r="I994" s="17"/>
      <c r="J994" s="17"/>
      <c r="K994" s="17"/>
      <c r="L994" s="17"/>
    </row>
    <row r="995">
      <c r="A995" s="11" t="str">
        <f t="shared" si="1"/>
        <v/>
      </c>
      <c r="B995" s="16"/>
      <c r="C995" s="16"/>
      <c r="D995" s="16"/>
      <c r="E995" s="16"/>
      <c r="F995" s="17"/>
      <c r="G995" s="17"/>
      <c r="H995" s="17"/>
      <c r="I995" s="17"/>
      <c r="J995" s="17"/>
      <c r="K995" s="17"/>
      <c r="L995" s="17"/>
    </row>
    <row r="996">
      <c r="A996" s="11" t="str">
        <f t="shared" si="1"/>
        <v/>
      </c>
      <c r="B996" s="16"/>
      <c r="C996" s="16"/>
      <c r="D996" s="16"/>
      <c r="E996" s="16"/>
      <c r="F996" s="17"/>
      <c r="G996" s="17"/>
      <c r="H996" s="17"/>
      <c r="I996" s="17"/>
      <c r="J996" s="17"/>
      <c r="K996" s="17"/>
      <c r="L996" s="17"/>
    </row>
    <row r="997">
      <c r="A997" s="11" t="str">
        <f t="shared" si="1"/>
        <v/>
      </c>
      <c r="B997" s="16"/>
      <c r="C997" s="16"/>
      <c r="D997" s="16"/>
      <c r="E997" s="16"/>
      <c r="F997" s="17"/>
      <c r="G997" s="17"/>
      <c r="H997" s="17"/>
      <c r="I997" s="17"/>
      <c r="J997" s="17"/>
      <c r="K997" s="17"/>
      <c r="L997" s="17"/>
    </row>
    <row r="998">
      <c r="A998" s="11" t="str">
        <f t="shared" si="1"/>
        <v/>
      </c>
      <c r="B998" s="16"/>
      <c r="C998" s="16"/>
      <c r="D998" s="16"/>
      <c r="E998" s="16"/>
      <c r="F998" s="17"/>
      <c r="G998" s="17"/>
      <c r="H998" s="17"/>
      <c r="I998" s="17"/>
      <c r="J998" s="17"/>
      <c r="K998" s="17"/>
      <c r="L998" s="17"/>
    </row>
    <row r="999">
      <c r="A999" s="11" t="str">
        <f t="shared" si="1"/>
        <v/>
      </c>
      <c r="B999" s="16"/>
      <c r="C999" s="16"/>
      <c r="D999" s="16"/>
      <c r="E999" s="16"/>
      <c r="F999" s="17"/>
      <c r="G999" s="17"/>
      <c r="H999" s="17"/>
      <c r="I999" s="17"/>
      <c r="J999" s="17"/>
      <c r="K999" s="17"/>
      <c r="L999" s="17"/>
    </row>
    <row r="1000">
      <c r="A1000" s="11" t="str">
        <f t="shared" si="1"/>
        <v/>
      </c>
      <c r="B1000" s="16"/>
      <c r="C1000" s="16"/>
      <c r="D1000" s="16"/>
      <c r="E1000" s="16"/>
      <c r="F1000" s="17"/>
      <c r="G1000" s="17"/>
      <c r="H1000" s="17"/>
      <c r="I1000" s="17"/>
      <c r="J1000" s="17"/>
      <c r="K1000" s="17"/>
      <c r="L1000" s="17"/>
    </row>
    <row r="1001">
      <c r="A1001" s="11" t="str">
        <f t="shared" si="1"/>
        <v/>
      </c>
      <c r="B1001" s="16"/>
      <c r="C1001" s="16"/>
      <c r="D1001" s="16"/>
      <c r="E1001" s="16"/>
      <c r="F1001" s="17"/>
      <c r="G1001" s="17"/>
      <c r="H1001" s="17"/>
      <c r="I1001" s="17"/>
      <c r="J1001" s="17"/>
      <c r="K1001" s="17"/>
      <c r="L1001" s="17"/>
    </row>
    <row r="1002">
      <c r="A1002" s="11" t="str">
        <f t="shared" si="1"/>
        <v/>
      </c>
      <c r="B1002" s="16"/>
      <c r="C1002" s="16"/>
      <c r="D1002" s="16"/>
      <c r="E1002" s="16"/>
      <c r="F1002" s="17"/>
      <c r="G1002" s="17"/>
      <c r="H1002" s="17"/>
      <c r="I1002" s="17"/>
      <c r="J1002" s="17"/>
      <c r="K1002" s="17"/>
      <c r="L1002" s="17"/>
    </row>
    <row r="1003">
      <c r="A1003" s="11" t="str">
        <f t="shared" si="1"/>
        <v/>
      </c>
      <c r="B1003" s="16"/>
      <c r="C1003" s="16"/>
      <c r="D1003" s="16"/>
      <c r="E1003" s="16"/>
      <c r="F1003" s="17"/>
      <c r="G1003" s="17"/>
      <c r="H1003" s="17"/>
      <c r="I1003" s="17"/>
      <c r="J1003" s="17"/>
      <c r="K1003" s="17"/>
      <c r="L1003" s="17"/>
    </row>
    <row r="1004">
      <c r="A1004" s="11" t="str">
        <f t="shared" si="1"/>
        <v/>
      </c>
      <c r="B1004" s="16"/>
      <c r="C1004" s="16"/>
      <c r="D1004" s="16"/>
      <c r="E1004" s="16"/>
      <c r="F1004" s="17"/>
      <c r="G1004" s="17"/>
      <c r="H1004" s="17"/>
      <c r="I1004" s="17"/>
      <c r="J1004" s="17"/>
      <c r="K1004" s="17"/>
      <c r="L1004" s="17"/>
    </row>
    <row r="1005">
      <c r="A1005" s="11" t="str">
        <f t="shared" si="1"/>
        <v/>
      </c>
      <c r="B1005" s="16"/>
      <c r="C1005" s="16"/>
      <c r="D1005" s="16"/>
      <c r="E1005" s="16"/>
      <c r="F1005" s="17"/>
      <c r="G1005" s="17"/>
      <c r="H1005" s="17"/>
      <c r="I1005" s="17"/>
      <c r="J1005" s="17"/>
      <c r="K1005" s="17"/>
      <c r="L1005" s="17"/>
    </row>
    <row r="1006">
      <c r="A1006" s="11" t="str">
        <f t="shared" si="1"/>
        <v/>
      </c>
      <c r="B1006" s="16"/>
      <c r="C1006" s="16"/>
      <c r="D1006" s="16"/>
      <c r="E1006" s="16"/>
      <c r="F1006" s="17"/>
      <c r="G1006" s="17"/>
      <c r="H1006" s="17"/>
      <c r="I1006" s="17"/>
      <c r="J1006" s="17"/>
      <c r="K1006" s="17"/>
      <c r="L1006" s="17"/>
    </row>
    <row r="1007">
      <c r="A1007" s="11" t="str">
        <f t="shared" si="1"/>
        <v/>
      </c>
      <c r="B1007" s="16"/>
      <c r="C1007" s="16"/>
      <c r="D1007" s="16"/>
      <c r="E1007" s="16"/>
      <c r="F1007" s="17"/>
      <c r="G1007" s="17"/>
      <c r="H1007" s="17"/>
      <c r="I1007" s="17"/>
      <c r="J1007" s="17"/>
      <c r="K1007" s="17"/>
      <c r="L1007" s="17"/>
    </row>
    <row r="1008">
      <c r="A1008" s="11" t="str">
        <f t="shared" si="1"/>
        <v/>
      </c>
      <c r="B1008" s="16"/>
      <c r="C1008" s="16"/>
      <c r="D1008" s="16"/>
      <c r="E1008" s="16"/>
      <c r="F1008" s="17"/>
      <c r="G1008" s="17"/>
      <c r="H1008" s="17"/>
      <c r="I1008" s="17"/>
      <c r="J1008" s="17"/>
      <c r="K1008" s="17"/>
      <c r="L1008" s="17"/>
    </row>
    <row r="1009">
      <c r="A1009" s="11" t="str">
        <f t="shared" si="1"/>
        <v/>
      </c>
      <c r="B1009" s="16"/>
      <c r="C1009" s="16"/>
      <c r="D1009" s="16"/>
      <c r="E1009" s="16"/>
      <c r="F1009" s="17"/>
      <c r="G1009" s="17"/>
      <c r="H1009" s="17"/>
      <c r="I1009" s="17"/>
      <c r="J1009" s="17"/>
      <c r="K1009" s="17"/>
      <c r="L1009" s="17"/>
    </row>
    <row r="1010">
      <c r="A1010" s="11" t="str">
        <f t="shared" si="1"/>
        <v/>
      </c>
      <c r="B1010" s="16"/>
      <c r="C1010" s="16"/>
      <c r="D1010" s="16"/>
      <c r="E1010" s="16"/>
      <c r="F1010" s="17"/>
      <c r="G1010" s="17"/>
      <c r="H1010" s="17"/>
      <c r="I1010" s="17"/>
      <c r="J1010" s="17"/>
      <c r="K1010" s="17"/>
      <c r="L1010" s="17"/>
    </row>
    <row r="1011">
      <c r="A1011" s="11" t="str">
        <f t="shared" si="1"/>
        <v/>
      </c>
      <c r="B1011" s="16"/>
      <c r="C1011" s="16"/>
      <c r="D1011" s="16"/>
      <c r="E1011" s="16"/>
      <c r="F1011" s="17"/>
      <c r="G1011" s="17"/>
      <c r="H1011" s="17"/>
      <c r="I1011" s="17"/>
      <c r="J1011" s="17"/>
      <c r="K1011" s="17"/>
      <c r="L1011" s="17"/>
    </row>
    <row r="1012">
      <c r="A1012" s="11" t="str">
        <f t="shared" si="1"/>
        <v/>
      </c>
      <c r="B1012" s="16"/>
      <c r="C1012" s="16"/>
      <c r="D1012" s="16"/>
      <c r="E1012" s="16"/>
      <c r="F1012" s="17"/>
      <c r="G1012" s="17"/>
      <c r="H1012" s="17"/>
      <c r="I1012" s="17"/>
      <c r="J1012" s="17"/>
      <c r="K1012" s="17"/>
      <c r="L1012" s="17"/>
    </row>
    <row r="1013">
      <c r="A1013" s="11" t="str">
        <f t="shared" si="1"/>
        <v/>
      </c>
      <c r="B1013" s="16"/>
      <c r="C1013" s="16"/>
      <c r="D1013" s="16"/>
      <c r="E1013" s="16"/>
      <c r="F1013" s="17"/>
      <c r="G1013" s="17"/>
      <c r="H1013" s="17"/>
      <c r="I1013" s="17"/>
      <c r="J1013" s="17"/>
      <c r="K1013" s="17"/>
      <c r="L1013" s="17"/>
    </row>
    <row r="1014">
      <c r="A1014" s="11" t="str">
        <f t="shared" si="1"/>
        <v/>
      </c>
      <c r="B1014" s="16"/>
      <c r="C1014" s="16"/>
      <c r="D1014" s="16"/>
      <c r="E1014" s="16"/>
      <c r="F1014" s="17"/>
      <c r="G1014" s="17"/>
      <c r="H1014" s="17"/>
      <c r="I1014" s="17"/>
      <c r="J1014" s="17"/>
      <c r="K1014" s="17"/>
      <c r="L1014" s="17"/>
    </row>
    <row r="1015">
      <c r="A1015" s="11" t="str">
        <f t="shared" si="1"/>
        <v/>
      </c>
      <c r="B1015" s="16"/>
      <c r="C1015" s="16"/>
      <c r="D1015" s="16"/>
      <c r="E1015" s="16"/>
      <c r="F1015" s="17"/>
      <c r="G1015" s="17"/>
      <c r="H1015" s="17"/>
      <c r="I1015" s="17"/>
      <c r="J1015" s="17"/>
      <c r="K1015" s="17"/>
      <c r="L1015" s="17"/>
    </row>
    <row r="1016">
      <c r="A1016" s="11" t="str">
        <f t="shared" si="1"/>
        <v/>
      </c>
      <c r="B1016" s="16"/>
      <c r="C1016" s="16"/>
      <c r="D1016" s="16"/>
      <c r="E1016" s="16"/>
      <c r="F1016" s="17"/>
      <c r="G1016" s="17"/>
      <c r="H1016" s="17"/>
      <c r="I1016" s="17"/>
      <c r="J1016" s="17"/>
      <c r="K1016" s="17"/>
      <c r="L1016" s="17"/>
    </row>
    <row r="1017">
      <c r="A1017" s="11" t="str">
        <f t="shared" si="1"/>
        <v/>
      </c>
      <c r="B1017" s="16"/>
      <c r="C1017" s="16"/>
      <c r="D1017" s="16"/>
      <c r="E1017" s="16"/>
      <c r="F1017" s="17"/>
      <c r="G1017" s="17"/>
      <c r="H1017" s="17"/>
      <c r="I1017" s="17"/>
      <c r="J1017" s="17"/>
      <c r="K1017" s="17"/>
      <c r="L1017" s="17"/>
    </row>
    <row r="1018">
      <c r="A1018" s="11" t="str">
        <f t="shared" si="1"/>
        <v/>
      </c>
      <c r="B1018" s="16"/>
      <c r="C1018" s="16"/>
      <c r="D1018" s="16"/>
      <c r="E1018" s="16"/>
      <c r="F1018" s="17"/>
      <c r="G1018" s="17"/>
      <c r="H1018" s="17"/>
      <c r="I1018" s="17"/>
      <c r="J1018" s="17"/>
      <c r="K1018" s="17"/>
      <c r="L1018" s="17"/>
    </row>
    <row r="1019">
      <c r="A1019" s="11" t="str">
        <f t="shared" si="1"/>
        <v/>
      </c>
      <c r="B1019" s="16"/>
      <c r="C1019" s="16"/>
      <c r="D1019" s="16"/>
      <c r="E1019" s="16"/>
      <c r="F1019" s="17"/>
      <c r="G1019" s="17"/>
      <c r="H1019" s="17"/>
      <c r="I1019" s="17"/>
      <c r="J1019" s="17"/>
      <c r="K1019" s="17"/>
      <c r="L1019" s="17"/>
    </row>
    <row r="1020">
      <c r="A1020" s="11" t="str">
        <f t="shared" si="1"/>
        <v/>
      </c>
      <c r="B1020" s="16"/>
      <c r="C1020" s="16"/>
      <c r="D1020" s="16"/>
      <c r="E1020" s="16"/>
      <c r="F1020" s="17"/>
      <c r="G1020" s="17"/>
      <c r="H1020" s="17"/>
      <c r="I1020" s="17"/>
      <c r="J1020" s="17"/>
      <c r="K1020" s="17"/>
      <c r="L1020" s="17"/>
    </row>
    <row r="1021">
      <c r="A1021" s="11" t="str">
        <f t="shared" si="1"/>
        <v/>
      </c>
      <c r="B1021" s="16"/>
      <c r="C1021" s="16"/>
      <c r="D1021" s="16"/>
      <c r="E1021" s="16"/>
      <c r="F1021" s="17"/>
      <c r="G1021" s="17"/>
      <c r="H1021" s="17"/>
      <c r="I1021" s="17"/>
      <c r="J1021" s="17"/>
      <c r="K1021" s="17"/>
      <c r="L1021" s="17"/>
    </row>
    <row r="1022">
      <c r="A1022" s="11" t="str">
        <f t="shared" si="1"/>
        <v/>
      </c>
      <c r="B1022" s="16"/>
      <c r="C1022" s="16"/>
      <c r="D1022" s="16"/>
      <c r="E1022" s="16"/>
      <c r="F1022" s="17"/>
      <c r="G1022" s="17"/>
      <c r="H1022" s="17"/>
      <c r="I1022" s="17"/>
      <c r="J1022" s="17"/>
      <c r="K1022" s="17"/>
      <c r="L1022" s="17"/>
    </row>
    <row r="1023">
      <c r="A1023" s="11" t="str">
        <f t="shared" si="1"/>
        <v/>
      </c>
      <c r="B1023" s="16"/>
      <c r="C1023" s="16"/>
      <c r="D1023" s="16"/>
      <c r="E1023" s="16"/>
      <c r="F1023" s="17"/>
      <c r="G1023" s="17"/>
      <c r="H1023" s="17"/>
      <c r="I1023" s="17"/>
      <c r="J1023" s="17"/>
      <c r="K1023" s="17"/>
      <c r="L1023" s="17"/>
    </row>
    <row r="1024">
      <c r="A1024" s="11" t="str">
        <f t="shared" si="1"/>
        <v/>
      </c>
      <c r="B1024" s="16"/>
      <c r="C1024" s="16"/>
      <c r="D1024" s="16"/>
      <c r="E1024" s="16"/>
      <c r="F1024" s="17"/>
      <c r="G1024" s="17"/>
      <c r="H1024" s="17"/>
      <c r="I1024" s="17"/>
      <c r="J1024" s="17"/>
      <c r="K1024" s="17"/>
      <c r="L1024" s="17"/>
    </row>
    <row r="1025">
      <c r="A1025" s="11" t="str">
        <f t="shared" si="1"/>
        <v/>
      </c>
      <c r="B1025" s="16"/>
      <c r="C1025" s="16"/>
      <c r="D1025" s="16"/>
      <c r="E1025" s="16"/>
      <c r="F1025" s="17"/>
      <c r="G1025" s="17"/>
      <c r="H1025" s="17"/>
      <c r="I1025" s="17"/>
      <c r="J1025" s="17"/>
      <c r="K1025" s="17"/>
      <c r="L1025" s="17"/>
    </row>
    <row r="1026">
      <c r="A1026" s="11" t="str">
        <f t="shared" si="1"/>
        <v/>
      </c>
      <c r="B1026" s="16"/>
      <c r="C1026" s="16"/>
      <c r="D1026" s="16"/>
      <c r="E1026" s="16"/>
      <c r="F1026" s="17"/>
      <c r="G1026" s="17"/>
      <c r="H1026" s="17"/>
      <c r="I1026" s="17"/>
      <c r="J1026" s="17"/>
      <c r="K1026" s="17"/>
      <c r="L1026" s="17"/>
    </row>
    <row r="1027">
      <c r="A1027" s="11" t="str">
        <f t="shared" si="1"/>
        <v/>
      </c>
      <c r="B1027" s="16"/>
      <c r="C1027" s="16"/>
      <c r="D1027" s="16"/>
      <c r="E1027" s="16"/>
      <c r="F1027" s="17"/>
      <c r="G1027" s="17"/>
      <c r="H1027" s="17"/>
      <c r="I1027" s="17"/>
      <c r="J1027" s="17"/>
      <c r="K1027" s="17"/>
      <c r="L1027" s="17"/>
    </row>
    <row r="1028">
      <c r="A1028" s="11" t="str">
        <f t="shared" si="1"/>
        <v/>
      </c>
      <c r="B1028" s="16"/>
      <c r="C1028" s="16"/>
      <c r="D1028" s="16"/>
      <c r="E1028" s="16"/>
      <c r="F1028" s="17"/>
      <c r="G1028" s="17"/>
      <c r="H1028" s="17"/>
      <c r="I1028" s="17"/>
      <c r="J1028" s="17"/>
      <c r="K1028" s="17"/>
      <c r="L1028" s="17"/>
    </row>
    <row r="1029">
      <c r="A1029" s="11" t="str">
        <f t="shared" si="1"/>
        <v/>
      </c>
      <c r="B1029" s="16"/>
      <c r="C1029" s="16"/>
      <c r="D1029" s="16"/>
      <c r="E1029" s="16"/>
      <c r="F1029" s="17"/>
      <c r="G1029" s="17"/>
      <c r="H1029" s="17"/>
      <c r="I1029" s="17"/>
      <c r="J1029" s="17"/>
      <c r="K1029" s="17"/>
      <c r="L1029" s="17"/>
    </row>
    <row r="1030">
      <c r="A1030" s="11" t="str">
        <f t="shared" si="1"/>
        <v/>
      </c>
      <c r="B1030" s="16"/>
      <c r="C1030" s="16"/>
      <c r="D1030" s="16"/>
      <c r="E1030" s="16"/>
      <c r="F1030" s="17"/>
      <c r="G1030" s="17"/>
      <c r="H1030" s="17"/>
      <c r="I1030" s="17"/>
      <c r="J1030" s="17"/>
      <c r="K1030" s="17"/>
      <c r="L1030" s="17"/>
    </row>
    <row r="1031">
      <c r="A1031" s="11" t="str">
        <f t="shared" si="1"/>
        <v/>
      </c>
      <c r="B1031" s="16"/>
      <c r="C1031" s="16"/>
      <c r="D1031" s="16"/>
      <c r="E1031" s="16"/>
      <c r="F1031" s="17"/>
      <c r="G1031" s="17"/>
      <c r="H1031" s="17"/>
      <c r="I1031" s="17"/>
      <c r="J1031" s="17"/>
      <c r="K1031" s="17"/>
      <c r="L1031" s="17"/>
    </row>
    <row r="1032">
      <c r="A1032" s="11" t="str">
        <f t="shared" si="1"/>
        <v/>
      </c>
      <c r="B1032" s="16"/>
      <c r="C1032" s="16"/>
      <c r="D1032" s="16"/>
      <c r="E1032" s="16"/>
      <c r="F1032" s="17"/>
      <c r="G1032" s="17"/>
      <c r="H1032" s="17"/>
      <c r="I1032" s="17"/>
      <c r="J1032" s="17"/>
      <c r="K1032" s="17"/>
      <c r="L1032" s="17"/>
    </row>
    <row r="1033">
      <c r="A1033" s="11" t="str">
        <f t="shared" si="1"/>
        <v/>
      </c>
      <c r="B1033" s="16"/>
      <c r="C1033" s="16"/>
      <c r="D1033" s="16"/>
      <c r="E1033" s="16"/>
      <c r="F1033" s="17"/>
      <c r="G1033" s="17"/>
      <c r="H1033" s="17"/>
      <c r="I1033" s="17"/>
      <c r="J1033" s="17"/>
      <c r="K1033" s="17"/>
      <c r="L1033" s="17"/>
    </row>
    <row r="1034">
      <c r="A1034" s="11" t="str">
        <f t="shared" si="1"/>
        <v/>
      </c>
      <c r="B1034" s="16"/>
      <c r="C1034" s="16"/>
      <c r="D1034" s="16"/>
      <c r="E1034" s="16"/>
      <c r="F1034" s="17"/>
      <c r="G1034" s="17"/>
      <c r="H1034" s="17"/>
      <c r="I1034" s="17"/>
      <c r="J1034" s="17"/>
      <c r="K1034" s="17"/>
      <c r="L1034" s="17"/>
    </row>
    <row r="1035">
      <c r="A1035" s="11" t="str">
        <f t="shared" si="1"/>
        <v/>
      </c>
      <c r="B1035" s="16"/>
      <c r="C1035" s="16"/>
      <c r="D1035" s="16"/>
      <c r="E1035" s="16"/>
      <c r="F1035" s="17"/>
      <c r="G1035" s="17"/>
      <c r="H1035" s="17"/>
      <c r="I1035" s="17"/>
      <c r="J1035" s="17"/>
      <c r="K1035" s="17"/>
      <c r="L1035" s="17"/>
    </row>
    <row r="1036">
      <c r="A1036" s="11" t="str">
        <f t="shared" si="1"/>
        <v/>
      </c>
      <c r="B1036" s="16"/>
      <c r="C1036" s="16"/>
      <c r="D1036" s="16"/>
      <c r="E1036" s="16"/>
      <c r="F1036" s="17"/>
      <c r="G1036" s="17"/>
      <c r="H1036" s="17"/>
      <c r="I1036" s="17"/>
      <c r="J1036" s="17"/>
      <c r="K1036" s="17"/>
      <c r="L1036" s="17"/>
    </row>
    <row r="1037">
      <c r="A1037" s="11" t="str">
        <f t="shared" si="1"/>
        <v/>
      </c>
      <c r="B1037" s="16"/>
      <c r="C1037" s="16"/>
      <c r="D1037" s="16"/>
      <c r="E1037" s="16"/>
      <c r="F1037" s="17"/>
      <c r="G1037" s="17"/>
      <c r="H1037" s="17"/>
      <c r="I1037" s="17"/>
      <c r="J1037" s="17"/>
      <c r="K1037" s="17"/>
      <c r="L1037" s="17"/>
    </row>
    <row r="1038">
      <c r="A1038" s="11" t="str">
        <f t="shared" si="1"/>
        <v/>
      </c>
      <c r="B1038" s="16"/>
      <c r="C1038" s="16"/>
      <c r="D1038" s="16"/>
      <c r="E1038" s="16"/>
      <c r="F1038" s="17"/>
      <c r="G1038" s="17"/>
      <c r="H1038" s="17"/>
      <c r="I1038" s="17"/>
      <c r="J1038" s="17"/>
      <c r="K1038" s="17"/>
      <c r="L1038" s="17"/>
    </row>
    <row r="1039">
      <c r="A1039" s="11" t="str">
        <f t="shared" si="1"/>
        <v/>
      </c>
      <c r="B1039" s="16"/>
      <c r="C1039" s="16"/>
      <c r="D1039" s="16"/>
      <c r="E1039" s="16"/>
      <c r="F1039" s="17"/>
      <c r="G1039" s="17"/>
      <c r="H1039" s="17"/>
      <c r="I1039" s="17"/>
      <c r="J1039" s="17"/>
      <c r="K1039" s="17"/>
      <c r="L1039" s="17"/>
    </row>
    <row r="1040">
      <c r="A1040" s="11" t="str">
        <f t="shared" si="1"/>
        <v/>
      </c>
      <c r="B1040" s="16"/>
      <c r="C1040" s="16"/>
      <c r="D1040" s="16"/>
      <c r="E1040" s="16"/>
      <c r="F1040" s="17"/>
      <c r="G1040" s="17"/>
      <c r="H1040" s="17"/>
      <c r="I1040" s="17"/>
      <c r="J1040" s="17"/>
      <c r="K1040" s="17"/>
      <c r="L1040" s="17"/>
    </row>
    <row r="1041">
      <c r="A1041" s="11" t="str">
        <f t="shared" si="1"/>
        <v/>
      </c>
      <c r="B1041" s="16"/>
      <c r="C1041" s="16"/>
      <c r="D1041" s="16"/>
      <c r="E1041" s="16"/>
      <c r="F1041" s="17"/>
      <c r="G1041" s="17"/>
      <c r="H1041" s="17"/>
      <c r="I1041" s="17"/>
      <c r="J1041" s="17"/>
      <c r="K1041" s="17"/>
      <c r="L1041" s="17"/>
    </row>
    <row r="1042">
      <c r="A1042" s="11" t="str">
        <f t="shared" si="1"/>
        <v/>
      </c>
      <c r="B1042" s="16"/>
      <c r="C1042" s="16"/>
      <c r="D1042" s="16"/>
      <c r="E1042" s="16"/>
      <c r="F1042" s="17"/>
      <c r="G1042" s="17"/>
      <c r="H1042" s="17"/>
      <c r="I1042" s="17"/>
      <c r="J1042" s="17"/>
      <c r="K1042" s="17"/>
      <c r="L1042" s="17"/>
    </row>
    <row r="1043">
      <c r="A1043" s="11" t="str">
        <f t="shared" si="1"/>
        <v/>
      </c>
      <c r="B1043" s="16"/>
      <c r="C1043" s="16"/>
      <c r="D1043" s="16"/>
      <c r="E1043" s="16"/>
      <c r="F1043" s="17"/>
      <c r="G1043" s="17"/>
      <c r="H1043" s="17"/>
      <c r="I1043" s="17"/>
      <c r="J1043" s="17"/>
      <c r="K1043" s="17"/>
      <c r="L1043" s="17"/>
    </row>
    <row r="1044">
      <c r="A1044" s="11" t="str">
        <f t="shared" si="1"/>
        <v/>
      </c>
      <c r="B1044" s="16"/>
      <c r="C1044" s="16"/>
      <c r="D1044" s="16"/>
      <c r="E1044" s="16"/>
      <c r="F1044" s="17"/>
      <c r="G1044" s="17"/>
      <c r="H1044" s="17"/>
      <c r="I1044" s="17"/>
      <c r="J1044" s="17"/>
      <c r="K1044" s="17"/>
      <c r="L1044" s="17"/>
    </row>
    <row r="1045">
      <c r="A1045" s="11" t="str">
        <f t="shared" si="1"/>
        <v/>
      </c>
      <c r="B1045" s="16"/>
      <c r="C1045" s="16"/>
      <c r="D1045" s="16"/>
      <c r="E1045" s="16"/>
      <c r="F1045" s="17"/>
      <c r="G1045" s="17"/>
      <c r="H1045" s="17"/>
      <c r="I1045" s="17"/>
      <c r="J1045" s="17"/>
      <c r="K1045" s="17"/>
      <c r="L1045" s="17"/>
    </row>
    <row r="1046">
      <c r="A1046" s="11" t="str">
        <f t="shared" si="1"/>
        <v/>
      </c>
      <c r="B1046" s="16"/>
      <c r="C1046" s="16"/>
      <c r="D1046" s="16"/>
      <c r="E1046" s="16"/>
      <c r="F1046" s="17"/>
      <c r="G1046" s="17"/>
      <c r="H1046" s="17"/>
      <c r="I1046" s="17"/>
      <c r="J1046" s="17"/>
      <c r="K1046" s="17"/>
      <c r="L1046" s="17"/>
    </row>
    <row r="1047">
      <c r="A1047" s="11" t="str">
        <f t="shared" si="1"/>
        <v/>
      </c>
      <c r="B1047" s="16"/>
      <c r="C1047" s="16"/>
      <c r="D1047" s="16"/>
      <c r="E1047" s="16"/>
      <c r="F1047" s="17"/>
      <c r="G1047" s="17"/>
      <c r="H1047" s="17"/>
      <c r="I1047" s="17"/>
      <c r="J1047" s="17"/>
      <c r="K1047" s="17"/>
      <c r="L1047" s="17"/>
    </row>
    <row r="1048">
      <c r="A1048" s="11" t="str">
        <f t="shared" si="1"/>
        <v/>
      </c>
      <c r="B1048" s="16"/>
      <c r="C1048" s="16"/>
      <c r="D1048" s="16"/>
      <c r="E1048" s="16"/>
      <c r="F1048" s="17"/>
      <c r="G1048" s="17"/>
      <c r="H1048" s="17"/>
      <c r="I1048" s="17"/>
      <c r="J1048" s="17"/>
      <c r="K1048" s="17"/>
      <c r="L1048" s="17"/>
    </row>
    <row r="1049">
      <c r="A1049" s="11" t="str">
        <f t="shared" si="1"/>
        <v/>
      </c>
      <c r="B1049" s="16"/>
      <c r="C1049" s="16"/>
      <c r="D1049" s="16"/>
      <c r="E1049" s="16"/>
      <c r="F1049" s="17"/>
      <c r="G1049" s="17"/>
      <c r="H1049" s="17"/>
      <c r="I1049" s="17"/>
      <c r="J1049" s="17"/>
      <c r="K1049" s="17"/>
      <c r="L1049" s="17"/>
    </row>
    <row r="1050">
      <c r="A1050" s="11" t="str">
        <f t="shared" si="1"/>
        <v/>
      </c>
      <c r="B1050" s="16"/>
      <c r="C1050" s="16"/>
      <c r="D1050" s="16"/>
      <c r="E1050" s="16"/>
      <c r="F1050" s="17"/>
      <c r="G1050" s="17"/>
      <c r="H1050" s="17"/>
      <c r="I1050" s="17"/>
      <c r="J1050" s="17"/>
      <c r="K1050" s="17"/>
      <c r="L1050" s="17"/>
    </row>
    <row r="1051">
      <c r="A1051" s="11" t="str">
        <f t="shared" si="1"/>
        <v/>
      </c>
      <c r="B1051" s="16"/>
      <c r="C1051" s="16"/>
      <c r="D1051" s="16"/>
      <c r="E1051" s="16"/>
      <c r="F1051" s="17"/>
      <c r="G1051" s="17"/>
      <c r="H1051" s="17"/>
      <c r="I1051" s="17"/>
      <c r="J1051" s="17"/>
      <c r="K1051" s="17"/>
      <c r="L1051" s="17"/>
    </row>
    <row r="1052">
      <c r="A1052" s="11" t="str">
        <f t="shared" si="1"/>
        <v/>
      </c>
      <c r="B1052" s="16"/>
      <c r="C1052" s="16"/>
      <c r="D1052" s="16"/>
      <c r="E1052" s="16"/>
      <c r="F1052" s="17"/>
      <c r="G1052" s="17"/>
      <c r="H1052" s="17"/>
      <c r="I1052" s="17"/>
      <c r="J1052" s="17"/>
      <c r="K1052" s="17"/>
      <c r="L1052" s="17"/>
    </row>
    <row r="1053">
      <c r="A1053" s="11" t="str">
        <f t="shared" si="1"/>
        <v/>
      </c>
      <c r="B1053" s="16"/>
      <c r="C1053" s="16"/>
      <c r="D1053" s="16"/>
      <c r="E1053" s="16"/>
      <c r="F1053" s="17"/>
      <c r="G1053" s="17"/>
      <c r="H1053" s="17"/>
      <c r="I1053" s="17"/>
      <c r="J1053" s="17"/>
      <c r="K1053" s="17"/>
      <c r="L1053" s="17"/>
    </row>
    <row r="1054">
      <c r="A1054" s="11" t="str">
        <f t="shared" si="1"/>
        <v/>
      </c>
      <c r="B1054" s="16"/>
      <c r="C1054" s="16"/>
      <c r="D1054" s="16"/>
      <c r="E1054" s="16"/>
      <c r="F1054" s="17"/>
      <c r="G1054" s="17"/>
      <c r="H1054" s="17"/>
      <c r="I1054" s="17"/>
      <c r="J1054" s="17"/>
      <c r="K1054" s="17"/>
      <c r="L1054" s="17"/>
    </row>
    <row r="1055">
      <c r="A1055" s="11" t="str">
        <f t="shared" si="1"/>
        <v/>
      </c>
      <c r="B1055" s="16"/>
      <c r="C1055" s="16"/>
      <c r="D1055" s="16"/>
      <c r="E1055" s="16"/>
      <c r="F1055" s="17"/>
      <c r="G1055" s="17"/>
      <c r="H1055" s="17"/>
      <c r="I1055" s="17"/>
      <c r="J1055" s="17"/>
      <c r="K1055" s="17"/>
      <c r="L1055" s="17"/>
    </row>
    <row r="1056">
      <c r="A1056" s="11" t="str">
        <f t="shared" si="1"/>
        <v/>
      </c>
      <c r="B1056" s="16"/>
      <c r="C1056" s="16"/>
      <c r="D1056" s="16"/>
      <c r="E1056" s="16"/>
      <c r="F1056" s="17"/>
      <c r="G1056" s="17"/>
      <c r="H1056" s="17"/>
      <c r="I1056" s="17"/>
      <c r="J1056" s="17"/>
      <c r="K1056" s="17"/>
      <c r="L1056" s="17"/>
    </row>
    <row r="1057">
      <c r="A1057" s="11" t="str">
        <f t="shared" si="1"/>
        <v/>
      </c>
      <c r="B1057" s="16"/>
      <c r="C1057" s="16"/>
      <c r="D1057" s="16"/>
      <c r="E1057" s="16"/>
      <c r="F1057" s="17"/>
      <c r="G1057" s="17"/>
      <c r="H1057" s="17"/>
      <c r="I1057" s="17"/>
      <c r="J1057" s="17"/>
      <c r="K1057" s="17"/>
      <c r="L1057" s="17"/>
    </row>
    <row r="1058">
      <c r="A1058" s="11" t="str">
        <f t="shared" si="1"/>
        <v/>
      </c>
      <c r="B1058" s="16"/>
      <c r="C1058" s="16"/>
      <c r="D1058" s="16"/>
      <c r="E1058" s="16"/>
      <c r="F1058" s="17"/>
      <c r="G1058" s="17"/>
      <c r="H1058" s="17"/>
      <c r="I1058" s="17"/>
      <c r="J1058" s="17"/>
      <c r="K1058" s="17"/>
      <c r="L1058" s="17"/>
    </row>
    <row r="1059">
      <c r="A1059" s="11" t="str">
        <f t="shared" si="1"/>
        <v/>
      </c>
      <c r="B1059" s="16"/>
      <c r="C1059" s="16"/>
      <c r="D1059" s="16"/>
      <c r="E1059" s="16"/>
      <c r="F1059" s="17"/>
      <c r="G1059" s="17"/>
      <c r="H1059" s="17"/>
      <c r="I1059" s="17"/>
      <c r="J1059" s="17"/>
      <c r="K1059" s="17"/>
      <c r="L1059" s="17"/>
    </row>
    <row r="1060">
      <c r="A1060" s="11" t="str">
        <f t="shared" si="1"/>
        <v/>
      </c>
      <c r="B1060" s="16"/>
      <c r="C1060" s="16"/>
      <c r="D1060" s="16"/>
      <c r="E1060" s="16"/>
      <c r="F1060" s="17"/>
      <c r="G1060" s="17"/>
      <c r="H1060" s="17"/>
      <c r="I1060" s="17"/>
      <c r="J1060" s="17"/>
      <c r="K1060" s="17"/>
      <c r="L1060" s="17"/>
    </row>
    <row r="1061">
      <c r="A1061" s="11" t="str">
        <f t="shared" si="1"/>
        <v/>
      </c>
      <c r="B1061" s="16"/>
      <c r="C1061" s="16"/>
      <c r="D1061" s="16"/>
      <c r="E1061" s="16"/>
      <c r="F1061" s="17"/>
      <c r="G1061" s="17"/>
      <c r="H1061" s="17"/>
      <c r="I1061" s="17"/>
      <c r="J1061" s="17"/>
      <c r="K1061" s="17"/>
      <c r="L1061" s="17"/>
    </row>
    <row r="1062">
      <c r="A1062" s="11" t="str">
        <f t="shared" si="1"/>
        <v/>
      </c>
      <c r="B1062" s="16"/>
      <c r="C1062" s="16"/>
      <c r="D1062" s="16"/>
      <c r="E1062" s="16"/>
      <c r="F1062" s="17"/>
      <c r="G1062" s="17"/>
      <c r="H1062" s="17"/>
      <c r="I1062" s="17"/>
      <c r="J1062" s="17"/>
      <c r="K1062" s="17"/>
      <c r="L1062" s="17"/>
    </row>
    <row r="1063">
      <c r="A1063" s="11" t="str">
        <f t="shared" si="1"/>
        <v/>
      </c>
      <c r="B1063" s="16"/>
      <c r="C1063" s="16"/>
      <c r="D1063" s="16"/>
      <c r="E1063" s="16"/>
      <c r="F1063" s="17"/>
      <c r="G1063" s="17"/>
      <c r="H1063" s="17"/>
      <c r="I1063" s="17"/>
      <c r="J1063" s="17"/>
      <c r="K1063" s="17"/>
      <c r="L1063" s="17"/>
    </row>
    <row r="1064">
      <c r="A1064" s="11" t="str">
        <f t="shared" si="1"/>
        <v/>
      </c>
      <c r="B1064" s="16"/>
      <c r="C1064" s="16"/>
      <c r="D1064" s="16"/>
      <c r="E1064" s="16"/>
      <c r="F1064" s="17"/>
      <c r="G1064" s="17"/>
      <c r="H1064" s="17"/>
      <c r="I1064" s="17"/>
      <c r="J1064" s="17"/>
      <c r="K1064" s="17"/>
      <c r="L1064" s="17"/>
    </row>
    <row r="1065">
      <c r="A1065" s="11" t="str">
        <f t="shared" si="1"/>
        <v/>
      </c>
      <c r="B1065" s="16"/>
      <c r="C1065" s="16"/>
      <c r="D1065" s="16"/>
      <c r="E1065" s="16"/>
      <c r="F1065" s="17"/>
      <c r="G1065" s="17"/>
      <c r="H1065" s="17"/>
      <c r="I1065" s="17"/>
      <c r="J1065" s="17"/>
      <c r="K1065" s="17"/>
      <c r="L1065" s="17"/>
    </row>
    <row r="1066">
      <c r="A1066" s="11" t="str">
        <f t="shared" si="1"/>
        <v/>
      </c>
      <c r="B1066" s="16"/>
      <c r="C1066" s="16"/>
      <c r="D1066" s="16"/>
      <c r="E1066" s="16"/>
      <c r="F1066" s="17"/>
      <c r="G1066" s="17"/>
      <c r="H1066" s="17"/>
      <c r="I1066" s="17"/>
      <c r="J1066" s="17"/>
      <c r="K1066" s="17"/>
      <c r="L1066" s="17"/>
    </row>
    <row r="1067">
      <c r="A1067" s="11" t="str">
        <f t="shared" si="1"/>
        <v/>
      </c>
      <c r="B1067" s="16"/>
      <c r="C1067" s="16"/>
      <c r="D1067" s="16"/>
      <c r="E1067" s="16"/>
      <c r="F1067" s="17"/>
      <c r="G1067" s="17"/>
      <c r="H1067" s="17"/>
      <c r="I1067" s="17"/>
      <c r="J1067" s="17"/>
      <c r="K1067" s="17"/>
      <c r="L1067" s="17"/>
    </row>
    <row r="1068">
      <c r="A1068" s="11" t="str">
        <f t="shared" si="1"/>
        <v/>
      </c>
      <c r="B1068" s="16"/>
      <c r="C1068" s="16"/>
      <c r="D1068" s="16"/>
      <c r="E1068" s="16"/>
      <c r="F1068" s="17"/>
      <c r="G1068" s="17"/>
      <c r="H1068" s="17"/>
      <c r="I1068" s="17"/>
      <c r="J1068" s="17"/>
      <c r="K1068" s="17"/>
      <c r="L1068" s="17"/>
    </row>
    <row r="1069">
      <c r="A1069" s="11" t="str">
        <f t="shared" si="1"/>
        <v/>
      </c>
      <c r="B1069" s="16"/>
      <c r="C1069" s="16"/>
      <c r="D1069" s="16"/>
      <c r="E1069" s="16"/>
      <c r="F1069" s="17"/>
      <c r="G1069" s="17"/>
      <c r="H1069" s="17"/>
      <c r="I1069" s="17"/>
      <c r="J1069" s="17"/>
      <c r="K1069" s="17"/>
      <c r="L1069" s="17"/>
    </row>
    <row r="1070">
      <c r="A1070" s="11" t="str">
        <f t="shared" si="1"/>
        <v/>
      </c>
      <c r="B1070" s="16"/>
      <c r="C1070" s="16"/>
      <c r="D1070" s="16"/>
      <c r="E1070" s="16"/>
      <c r="F1070" s="17"/>
      <c r="G1070" s="17"/>
      <c r="H1070" s="17"/>
      <c r="I1070" s="17"/>
      <c r="J1070" s="17"/>
      <c r="K1070" s="17"/>
      <c r="L1070" s="17"/>
    </row>
    <row r="1071">
      <c r="A1071" s="11" t="str">
        <f t="shared" si="1"/>
        <v/>
      </c>
      <c r="B1071" s="16"/>
      <c r="C1071" s="16"/>
      <c r="D1071" s="16"/>
      <c r="E1071" s="16"/>
      <c r="F1071" s="17"/>
      <c r="G1071" s="17"/>
      <c r="H1071" s="17"/>
      <c r="I1071" s="17"/>
      <c r="J1071" s="17"/>
      <c r="K1071" s="17"/>
      <c r="L1071" s="17"/>
    </row>
    <row r="1072">
      <c r="A1072" s="11" t="str">
        <f t="shared" si="1"/>
        <v/>
      </c>
      <c r="B1072" s="16"/>
      <c r="C1072" s="16"/>
      <c r="D1072" s="16"/>
      <c r="E1072" s="16"/>
      <c r="F1072" s="17"/>
      <c r="G1072" s="17"/>
      <c r="H1072" s="17"/>
      <c r="I1072" s="17"/>
      <c r="J1072" s="17"/>
      <c r="K1072" s="17"/>
      <c r="L1072" s="17"/>
    </row>
    <row r="1073">
      <c r="A1073" s="11" t="str">
        <f t="shared" si="1"/>
        <v/>
      </c>
      <c r="B1073" s="16"/>
      <c r="C1073" s="16"/>
      <c r="D1073" s="16"/>
      <c r="E1073" s="16"/>
      <c r="F1073" s="17"/>
      <c r="G1073" s="17"/>
      <c r="H1073" s="17"/>
      <c r="I1073" s="17"/>
      <c r="J1073" s="17"/>
      <c r="K1073" s="17"/>
      <c r="L1073" s="17"/>
    </row>
    <row r="1074">
      <c r="A1074" s="11" t="str">
        <f t="shared" si="1"/>
        <v/>
      </c>
      <c r="B1074" s="16"/>
      <c r="C1074" s="16"/>
      <c r="D1074" s="16"/>
      <c r="E1074" s="16"/>
      <c r="F1074" s="17"/>
      <c r="G1074" s="17"/>
      <c r="H1074" s="17"/>
      <c r="I1074" s="17"/>
      <c r="J1074" s="17"/>
      <c r="K1074" s="17"/>
      <c r="L1074" s="17"/>
    </row>
    <row r="1075">
      <c r="A1075" s="11" t="str">
        <f t="shared" si="1"/>
        <v/>
      </c>
      <c r="B1075" s="16"/>
      <c r="C1075" s="16"/>
      <c r="D1075" s="16"/>
      <c r="E1075" s="16"/>
      <c r="F1075" s="17"/>
      <c r="G1075" s="17"/>
      <c r="H1075" s="17"/>
      <c r="I1075" s="17"/>
      <c r="J1075" s="17"/>
      <c r="K1075" s="17"/>
      <c r="L1075" s="17"/>
    </row>
    <row r="1076">
      <c r="A1076" s="11" t="str">
        <f t="shared" si="1"/>
        <v/>
      </c>
      <c r="B1076" s="16"/>
      <c r="C1076" s="16"/>
      <c r="D1076" s="16"/>
      <c r="E1076" s="16"/>
      <c r="F1076" s="17"/>
      <c r="G1076" s="17"/>
      <c r="H1076" s="17"/>
      <c r="I1076" s="17"/>
      <c r="J1076" s="17"/>
      <c r="K1076" s="17"/>
      <c r="L1076" s="17"/>
    </row>
    <row r="1077">
      <c r="A1077" s="11" t="str">
        <f t="shared" si="1"/>
        <v/>
      </c>
      <c r="B1077" s="16"/>
      <c r="C1077" s="16"/>
      <c r="D1077" s="16"/>
      <c r="E1077" s="16"/>
      <c r="F1077" s="17"/>
      <c r="G1077" s="17"/>
      <c r="H1077" s="17"/>
      <c r="I1077" s="17"/>
      <c r="J1077" s="17"/>
      <c r="K1077" s="17"/>
      <c r="L1077" s="17"/>
    </row>
    <row r="1078">
      <c r="A1078" s="11" t="str">
        <f t="shared" si="1"/>
        <v/>
      </c>
      <c r="B1078" s="16"/>
      <c r="C1078" s="16"/>
      <c r="D1078" s="16"/>
      <c r="E1078" s="16"/>
      <c r="F1078" s="17"/>
      <c r="G1078" s="17"/>
      <c r="H1078" s="17"/>
      <c r="I1078" s="17"/>
      <c r="J1078" s="17"/>
      <c r="K1078" s="17"/>
      <c r="L1078" s="17"/>
    </row>
    <row r="1079">
      <c r="A1079" s="11" t="str">
        <f t="shared" si="1"/>
        <v/>
      </c>
      <c r="B1079" s="16"/>
      <c r="C1079" s="16"/>
      <c r="D1079" s="16"/>
      <c r="E1079" s="16"/>
      <c r="F1079" s="17"/>
      <c r="G1079" s="17"/>
      <c r="H1079" s="17"/>
      <c r="I1079" s="17"/>
      <c r="J1079" s="17"/>
      <c r="K1079" s="17"/>
      <c r="L1079" s="17"/>
    </row>
    <row r="1080">
      <c r="A1080" s="11" t="str">
        <f t="shared" si="1"/>
        <v/>
      </c>
      <c r="B1080" s="16"/>
      <c r="C1080" s="16"/>
      <c r="D1080" s="16"/>
      <c r="E1080" s="16"/>
      <c r="F1080" s="17"/>
      <c r="G1080" s="17"/>
      <c r="H1080" s="17"/>
      <c r="I1080" s="17"/>
      <c r="J1080" s="17"/>
      <c r="K1080" s="17"/>
      <c r="L1080" s="17"/>
    </row>
    <row r="1081">
      <c r="A1081" s="11" t="str">
        <f t="shared" si="1"/>
        <v/>
      </c>
      <c r="B1081" s="16"/>
      <c r="C1081" s="16"/>
      <c r="D1081" s="16"/>
      <c r="E1081" s="16"/>
      <c r="F1081" s="17"/>
      <c r="G1081" s="17"/>
      <c r="H1081" s="17"/>
      <c r="I1081" s="17"/>
      <c r="J1081" s="17"/>
      <c r="K1081" s="17"/>
      <c r="L1081" s="17"/>
    </row>
    <row r="1082">
      <c r="A1082" s="11" t="str">
        <f t="shared" si="1"/>
        <v/>
      </c>
      <c r="B1082" s="16"/>
      <c r="C1082" s="16"/>
      <c r="D1082" s="16"/>
      <c r="E1082" s="16"/>
      <c r="F1082" s="17"/>
      <c r="G1082" s="17"/>
      <c r="H1082" s="17"/>
      <c r="I1082" s="17"/>
      <c r="J1082" s="17"/>
      <c r="K1082" s="17"/>
      <c r="L1082" s="17"/>
    </row>
    <row r="1083">
      <c r="A1083" s="11" t="str">
        <f t="shared" si="1"/>
        <v/>
      </c>
      <c r="B1083" s="16"/>
      <c r="C1083" s="16"/>
      <c r="D1083" s="16"/>
      <c r="E1083" s="16"/>
      <c r="F1083" s="17"/>
      <c r="G1083" s="17"/>
      <c r="H1083" s="17"/>
      <c r="I1083" s="17"/>
      <c r="J1083" s="17"/>
      <c r="K1083" s="17"/>
      <c r="L1083" s="17"/>
    </row>
    <row r="1084">
      <c r="A1084" s="11" t="str">
        <f t="shared" si="1"/>
        <v/>
      </c>
      <c r="B1084" s="16"/>
      <c r="C1084" s="16"/>
      <c r="D1084" s="16"/>
      <c r="E1084" s="16"/>
      <c r="F1084" s="17"/>
      <c r="G1084" s="17"/>
      <c r="H1084" s="17"/>
      <c r="I1084" s="17"/>
      <c r="J1084" s="17"/>
      <c r="K1084" s="17"/>
      <c r="L1084" s="17"/>
    </row>
    <row r="1085">
      <c r="A1085" s="11" t="str">
        <f t="shared" si="1"/>
        <v/>
      </c>
      <c r="B1085" s="16"/>
      <c r="C1085" s="16"/>
      <c r="D1085" s="16"/>
      <c r="E1085" s="16"/>
      <c r="F1085" s="17"/>
      <c r="G1085" s="17"/>
      <c r="H1085" s="17"/>
      <c r="I1085" s="17"/>
      <c r="J1085" s="17"/>
      <c r="K1085" s="17"/>
      <c r="L1085" s="17"/>
    </row>
    <row r="1086">
      <c r="A1086" s="11" t="str">
        <f t="shared" si="1"/>
        <v/>
      </c>
      <c r="B1086" s="16"/>
      <c r="C1086" s="16"/>
      <c r="D1086" s="16"/>
      <c r="E1086" s="16"/>
      <c r="F1086" s="17"/>
      <c r="G1086" s="17"/>
      <c r="H1086" s="17"/>
      <c r="I1086" s="17"/>
      <c r="J1086" s="17"/>
      <c r="K1086" s="17"/>
      <c r="L1086" s="17"/>
    </row>
    <row r="1087">
      <c r="A1087" s="11" t="str">
        <f t="shared" si="1"/>
        <v/>
      </c>
      <c r="B1087" s="16"/>
      <c r="C1087" s="16"/>
      <c r="D1087" s="16"/>
      <c r="E1087" s="16"/>
      <c r="F1087" s="17"/>
      <c r="G1087" s="17"/>
      <c r="H1087" s="17"/>
      <c r="I1087" s="17"/>
      <c r="J1087" s="17"/>
      <c r="K1087" s="17"/>
      <c r="L1087" s="17"/>
    </row>
    <row r="1088">
      <c r="A1088" s="11" t="str">
        <f t="shared" si="1"/>
        <v/>
      </c>
      <c r="B1088" s="16"/>
      <c r="C1088" s="16"/>
      <c r="D1088" s="16"/>
      <c r="E1088" s="16"/>
      <c r="F1088" s="17"/>
      <c r="G1088" s="17"/>
      <c r="H1088" s="17"/>
      <c r="I1088" s="17"/>
      <c r="J1088" s="17"/>
      <c r="K1088" s="17"/>
      <c r="L1088" s="17"/>
    </row>
    <row r="1089">
      <c r="A1089" s="11" t="str">
        <f t="shared" si="1"/>
        <v/>
      </c>
      <c r="B1089" s="16"/>
      <c r="C1089" s="16"/>
      <c r="D1089" s="16"/>
      <c r="E1089" s="16"/>
      <c r="F1089" s="17"/>
      <c r="G1089" s="17"/>
      <c r="H1089" s="17"/>
      <c r="I1089" s="17"/>
      <c r="J1089" s="17"/>
      <c r="K1089" s="17"/>
      <c r="L1089" s="17"/>
    </row>
    <row r="1090">
      <c r="A1090" s="11" t="str">
        <f t="shared" si="1"/>
        <v/>
      </c>
      <c r="B1090" s="16"/>
      <c r="C1090" s="16"/>
      <c r="D1090" s="16"/>
      <c r="E1090" s="16"/>
      <c r="F1090" s="17"/>
      <c r="G1090" s="17"/>
      <c r="H1090" s="17"/>
      <c r="I1090" s="17"/>
      <c r="J1090" s="17"/>
      <c r="K1090" s="17"/>
      <c r="L1090" s="17"/>
    </row>
    <row r="1091">
      <c r="A1091" s="11" t="str">
        <f t="shared" si="1"/>
        <v/>
      </c>
      <c r="B1091" s="16"/>
      <c r="C1091" s="16"/>
      <c r="D1091" s="16"/>
      <c r="E1091" s="16"/>
      <c r="F1091" s="17"/>
      <c r="G1091" s="17"/>
      <c r="H1091" s="17"/>
      <c r="I1091" s="17"/>
      <c r="J1091" s="17"/>
      <c r="K1091" s="17"/>
      <c r="L1091" s="17"/>
    </row>
    <row r="1092">
      <c r="A1092" s="11" t="str">
        <f t="shared" si="1"/>
        <v/>
      </c>
      <c r="B1092" s="16"/>
      <c r="C1092" s="16"/>
      <c r="D1092" s="16"/>
      <c r="E1092" s="16"/>
      <c r="F1092" s="17"/>
      <c r="G1092" s="17"/>
      <c r="H1092" s="17"/>
      <c r="I1092" s="17"/>
      <c r="J1092" s="17"/>
      <c r="K1092" s="17"/>
      <c r="L1092" s="17"/>
    </row>
    <row r="1093">
      <c r="A1093" s="11" t="str">
        <f t="shared" si="1"/>
        <v/>
      </c>
      <c r="B1093" s="16"/>
      <c r="C1093" s="16"/>
      <c r="D1093" s="16"/>
      <c r="E1093" s="16"/>
      <c r="F1093" s="17"/>
      <c r="G1093" s="17"/>
      <c r="H1093" s="17"/>
      <c r="I1093" s="17"/>
      <c r="J1093" s="17"/>
      <c r="K1093" s="17"/>
      <c r="L1093" s="17"/>
    </row>
    <row r="1094">
      <c r="A1094" s="11" t="str">
        <f t="shared" si="1"/>
        <v/>
      </c>
      <c r="B1094" s="16"/>
      <c r="C1094" s="16"/>
      <c r="D1094" s="16"/>
      <c r="E1094" s="16"/>
      <c r="F1094" s="17"/>
      <c r="G1094" s="17"/>
      <c r="H1094" s="17"/>
      <c r="I1094" s="17"/>
      <c r="J1094" s="17"/>
      <c r="K1094" s="17"/>
      <c r="L1094" s="17"/>
    </row>
    <row r="1095">
      <c r="A1095" s="11" t="str">
        <f t="shared" si="1"/>
        <v/>
      </c>
      <c r="B1095" s="16"/>
      <c r="C1095" s="16"/>
      <c r="D1095" s="16"/>
      <c r="E1095" s="16"/>
      <c r="F1095" s="17"/>
      <c r="G1095" s="17"/>
      <c r="H1095" s="17"/>
      <c r="I1095" s="17"/>
      <c r="J1095" s="17"/>
      <c r="K1095" s="17"/>
      <c r="L1095" s="17"/>
    </row>
    <row r="1096">
      <c r="A1096" s="11" t="str">
        <f t="shared" si="1"/>
        <v/>
      </c>
      <c r="B1096" s="16"/>
      <c r="C1096" s="16"/>
      <c r="D1096" s="16"/>
      <c r="E1096" s="16"/>
      <c r="F1096" s="17"/>
      <c r="G1096" s="17"/>
      <c r="H1096" s="17"/>
      <c r="I1096" s="17"/>
      <c r="J1096" s="17"/>
      <c r="K1096" s="17"/>
      <c r="L1096" s="17"/>
    </row>
    <row r="1097">
      <c r="A1097" s="11" t="str">
        <f t="shared" si="1"/>
        <v/>
      </c>
      <c r="B1097" s="16"/>
      <c r="C1097" s="16"/>
      <c r="D1097" s="16"/>
      <c r="E1097" s="16"/>
      <c r="F1097" s="17"/>
      <c r="G1097" s="17"/>
      <c r="H1097" s="17"/>
      <c r="I1097" s="17"/>
      <c r="J1097" s="17"/>
      <c r="K1097" s="17"/>
      <c r="L1097" s="17"/>
    </row>
    <row r="1098">
      <c r="A1098" s="11" t="str">
        <f t="shared" si="1"/>
        <v/>
      </c>
      <c r="B1098" s="16"/>
      <c r="C1098" s="16"/>
      <c r="D1098" s="16"/>
      <c r="E1098" s="16"/>
      <c r="F1098" s="17"/>
      <c r="G1098" s="17"/>
      <c r="H1098" s="17"/>
      <c r="I1098" s="17"/>
      <c r="J1098" s="17"/>
      <c r="K1098" s="17"/>
      <c r="L1098" s="17"/>
    </row>
    <row r="1099">
      <c r="A1099" s="11" t="str">
        <f t="shared" si="1"/>
        <v/>
      </c>
      <c r="B1099" s="16"/>
      <c r="C1099" s="16"/>
      <c r="D1099" s="16"/>
      <c r="E1099" s="16"/>
      <c r="F1099" s="17"/>
      <c r="G1099" s="17"/>
      <c r="H1099" s="17"/>
      <c r="I1099" s="17"/>
      <c r="J1099" s="17"/>
      <c r="K1099" s="17"/>
      <c r="L1099" s="17"/>
    </row>
    <row r="1100">
      <c r="A1100" s="11" t="str">
        <f t="shared" si="1"/>
        <v/>
      </c>
      <c r="B1100" s="16"/>
      <c r="C1100" s="16"/>
      <c r="D1100" s="16"/>
      <c r="E1100" s="16"/>
      <c r="F1100" s="17"/>
      <c r="G1100" s="17"/>
      <c r="H1100" s="17"/>
      <c r="I1100" s="17"/>
      <c r="J1100" s="17"/>
      <c r="K1100" s="17"/>
      <c r="L1100" s="17"/>
    </row>
    <row r="1101">
      <c r="A1101" s="11" t="str">
        <f t="shared" si="1"/>
        <v/>
      </c>
      <c r="B1101" s="16"/>
      <c r="C1101" s="16"/>
      <c r="D1101" s="16"/>
      <c r="E1101" s="16"/>
      <c r="F1101" s="17"/>
      <c r="G1101" s="17"/>
      <c r="H1101" s="17"/>
      <c r="I1101" s="17"/>
      <c r="J1101" s="17"/>
      <c r="K1101" s="17"/>
      <c r="L1101" s="17"/>
    </row>
    <row r="1102">
      <c r="A1102" s="11" t="str">
        <f t="shared" si="1"/>
        <v/>
      </c>
      <c r="B1102" s="16"/>
      <c r="C1102" s="16"/>
      <c r="D1102" s="16"/>
      <c r="E1102" s="16"/>
      <c r="F1102" s="17"/>
      <c r="G1102" s="17"/>
      <c r="H1102" s="17"/>
      <c r="I1102" s="17"/>
      <c r="J1102" s="17"/>
      <c r="K1102" s="17"/>
      <c r="L1102" s="17"/>
    </row>
    <row r="1103">
      <c r="A1103" s="11" t="str">
        <f t="shared" si="1"/>
        <v/>
      </c>
      <c r="B1103" s="16"/>
      <c r="C1103" s="16"/>
      <c r="D1103" s="16"/>
      <c r="E1103" s="16"/>
      <c r="F1103" s="17"/>
      <c r="G1103" s="17"/>
      <c r="H1103" s="17"/>
      <c r="I1103" s="17"/>
      <c r="J1103" s="17"/>
      <c r="K1103" s="17"/>
      <c r="L1103" s="17"/>
    </row>
    <row r="1104">
      <c r="A1104" s="11" t="str">
        <f t="shared" si="1"/>
        <v/>
      </c>
      <c r="B1104" s="16"/>
      <c r="C1104" s="16"/>
      <c r="D1104" s="16"/>
      <c r="E1104" s="16"/>
      <c r="F1104" s="17"/>
      <c r="G1104" s="17"/>
      <c r="H1104" s="17"/>
      <c r="I1104" s="17"/>
      <c r="J1104" s="17"/>
      <c r="K1104" s="17"/>
      <c r="L1104" s="17"/>
    </row>
    <row r="1105">
      <c r="A1105" s="11" t="str">
        <f t="shared" si="1"/>
        <v/>
      </c>
      <c r="B1105" s="16"/>
      <c r="C1105" s="16"/>
      <c r="D1105" s="16"/>
      <c r="E1105" s="16"/>
      <c r="F1105" s="17"/>
      <c r="G1105" s="17"/>
      <c r="H1105" s="17"/>
      <c r="I1105" s="17"/>
      <c r="J1105" s="17"/>
      <c r="K1105" s="17"/>
      <c r="L1105" s="17"/>
    </row>
    <row r="1106">
      <c r="A1106" s="11" t="str">
        <f t="shared" si="1"/>
        <v/>
      </c>
      <c r="B1106" s="16"/>
      <c r="C1106" s="16"/>
      <c r="D1106" s="16"/>
      <c r="E1106" s="16"/>
      <c r="F1106" s="17"/>
      <c r="G1106" s="17"/>
      <c r="H1106" s="17"/>
      <c r="I1106" s="17"/>
      <c r="J1106" s="17"/>
      <c r="K1106" s="17"/>
      <c r="L1106" s="17"/>
    </row>
    <row r="1107">
      <c r="A1107" s="11" t="str">
        <f t="shared" si="1"/>
        <v/>
      </c>
      <c r="B1107" s="16"/>
      <c r="C1107" s="16"/>
      <c r="D1107" s="16"/>
      <c r="E1107" s="16"/>
      <c r="F1107" s="17"/>
      <c r="G1107" s="17"/>
      <c r="H1107" s="17"/>
      <c r="I1107" s="17"/>
      <c r="J1107" s="17"/>
      <c r="K1107" s="17"/>
      <c r="L1107" s="17"/>
    </row>
    <row r="1108">
      <c r="A1108" s="11" t="str">
        <f t="shared" si="1"/>
        <v/>
      </c>
      <c r="B1108" s="16"/>
      <c r="C1108" s="16"/>
      <c r="D1108" s="16"/>
      <c r="E1108" s="16"/>
      <c r="F1108" s="17"/>
      <c r="G1108" s="17"/>
      <c r="H1108" s="17"/>
      <c r="I1108" s="17"/>
      <c r="J1108" s="17"/>
      <c r="K1108" s="17"/>
      <c r="L1108" s="17"/>
    </row>
    <row r="1109">
      <c r="A1109" s="11" t="str">
        <f t="shared" si="1"/>
        <v/>
      </c>
      <c r="B1109" s="16"/>
      <c r="C1109" s="16"/>
      <c r="D1109" s="16"/>
      <c r="E1109" s="16"/>
      <c r="F1109" s="17"/>
      <c r="G1109" s="17"/>
      <c r="H1109" s="17"/>
      <c r="I1109" s="17"/>
      <c r="J1109" s="17"/>
      <c r="K1109" s="17"/>
      <c r="L1109" s="17"/>
    </row>
    <row r="1110">
      <c r="A1110" s="11" t="str">
        <f t="shared" si="1"/>
        <v/>
      </c>
      <c r="B1110" s="16"/>
      <c r="C1110" s="16"/>
      <c r="D1110" s="16"/>
      <c r="E1110" s="16"/>
      <c r="F1110" s="17"/>
      <c r="G1110" s="17"/>
      <c r="H1110" s="17"/>
      <c r="I1110" s="17"/>
      <c r="J1110" s="17"/>
      <c r="K1110" s="17"/>
      <c r="L1110" s="17"/>
    </row>
    <row r="1111">
      <c r="A1111" s="11" t="str">
        <f t="shared" si="1"/>
        <v/>
      </c>
      <c r="B1111" s="16"/>
      <c r="C1111" s="16"/>
      <c r="D1111" s="16"/>
      <c r="E1111" s="16"/>
      <c r="F1111" s="17"/>
      <c r="G1111" s="17"/>
      <c r="H1111" s="17"/>
      <c r="I1111" s="17"/>
      <c r="J1111" s="17"/>
      <c r="K1111" s="17"/>
      <c r="L1111" s="17"/>
    </row>
    <row r="1112">
      <c r="A1112" s="11" t="str">
        <f t="shared" si="1"/>
        <v/>
      </c>
      <c r="B1112" s="16"/>
      <c r="C1112" s="16"/>
      <c r="D1112" s="16"/>
      <c r="E1112" s="16"/>
      <c r="F1112" s="17"/>
      <c r="G1112" s="17"/>
      <c r="H1112" s="17"/>
      <c r="I1112" s="17"/>
      <c r="J1112" s="17"/>
      <c r="K1112" s="17"/>
      <c r="L1112" s="17"/>
    </row>
    <row r="1113">
      <c r="A1113" s="11" t="str">
        <f t="shared" si="1"/>
        <v/>
      </c>
      <c r="B1113" s="16"/>
      <c r="C1113" s="16"/>
      <c r="D1113" s="16"/>
      <c r="E1113" s="16"/>
      <c r="F1113" s="17"/>
      <c r="G1113" s="17"/>
      <c r="H1113" s="17"/>
      <c r="I1113" s="17"/>
      <c r="J1113" s="17"/>
      <c r="K1113" s="17"/>
      <c r="L1113" s="17"/>
    </row>
    <row r="1114">
      <c r="A1114" s="11" t="str">
        <f t="shared" si="1"/>
        <v/>
      </c>
      <c r="B1114" s="16"/>
      <c r="C1114" s="16"/>
      <c r="D1114" s="16"/>
      <c r="E1114" s="16"/>
      <c r="F1114" s="17"/>
      <c r="G1114" s="17"/>
      <c r="H1114" s="17"/>
      <c r="I1114" s="17"/>
      <c r="J1114" s="17"/>
      <c r="K1114" s="17"/>
      <c r="L1114" s="17"/>
    </row>
    <row r="1115">
      <c r="A1115" s="11" t="str">
        <f t="shared" si="1"/>
        <v/>
      </c>
      <c r="B1115" s="16"/>
      <c r="C1115" s="16"/>
      <c r="D1115" s="16"/>
      <c r="E1115" s="16"/>
      <c r="F1115" s="17"/>
      <c r="G1115" s="17"/>
      <c r="H1115" s="17"/>
      <c r="I1115" s="17"/>
      <c r="J1115" s="17"/>
      <c r="K1115" s="17"/>
      <c r="L1115" s="17"/>
    </row>
    <row r="1116">
      <c r="A1116" s="11" t="str">
        <f t="shared" si="1"/>
        <v/>
      </c>
      <c r="B1116" s="16"/>
      <c r="C1116" s="16"/>
      <c r="D1116" s="16"/>
      <c r="E1116" s="16"/>
      <c r="F1116" s="17"/>
      <c r="G1116" s="17"/>
      <c r="H1116" s="17"/>
      <c r="I1116" s="17"/>
      <c r="J1116" s="17"/>
      <c r="K1116" s="17"/>
      <c r="L1116" s="17"/>
    </row>
    <row r="1117">
      <c r="A1117" s="11" t="str">
        <f t="shared" si="1"/>
        <v/>
      </c>
      <c r="B1117" s="16"/>
      <c r="C1117" s="16"/>
      <c r="D1117" s="16"/>
      <c r="E1117" s="16"/>
      <c r="F1117" s="17"/>
      <c r="G1117" s="17"/>
      <c r="H1117" s="17"/>
      <c r="I1117" s="17"/>
      <c r="J1117" s="17"/>
      <c r="K1117" s="17"/>
      <c r="L1117" s="17"/>
    </row>
    <row r="1118">
      <c r="A1118" s="11" t="str">
        <f t="shared" si="1"/>
        <v/>
      </c>
      <c r="B1118" s="16"/>
      <c r="C1118" s="16"/>
      <c r="D1118" s="16"/>
      <c r="E1118" s="16"/>
      <c r="F1118" s="17"/>
      <c r="G1118" s="17"/>
      <c r="H1118" s="17"/>
      <c r="I1118" s="17"/>
      <c r="J1118" s="17"/>
      <c r="K1118" s="17"/>
      <c r="L1118" s="17"/>
    </row>
    <row r="1119">
      <c r="A1119" s="11" t="str">
        <f t="shared" si="1"/>
        <v/>
      </c>
      <c r="B1119" s="16"/>
      <c r="C1119" s="16"/>
      <c r="D1119" s="16"/>
      <c r="E1119" s="16"/>
      <c r="F1119" s="17"/>
      <c r="G1119" s="17"/>
      <c r="H1119" s="17"/>
      <c r="I1119" s="17"/>
      <c r="J1119" s="17"/>
      <c r="K1119" s="17"/>
      <c r="L1119" s="17"/>
    </row>
    <row r="1120">
      <c r="A1120" s="11" t="str">
        <f t="shared" si="1"/>
        <v/>
      </c>
      <c r="B1120" s="16"/>
      <c r="C1120" s="16"/>
      <c r="D1120" s="16"/>
      <c r="E1120" s="16"/>
      <c r="F1120" s="17"/>
      <c r="G1120" s="17"/>
      <c r="H1120" s="17"/>
      <c r="I1120" s="17"/>
      <c r="J1120" s="17"/>
      <c r="K1120" s="17"/>
      <c r="L1120" s="17"/>
    </row>
    <row r="1121">
      <c r="A1121" s="11" t="str">
        <f t="shared" si="1"/>
        <v/>
      </c>
      <c r="B1121" s="16"/>
      <c r="C1121" s="16"/>
      <c r="D1121" s="16"/>
      <c r="E1121" s="16"/>
      <c r="F1121" s="17"/>
      <c r="G1121" s="17"/>
      <c r="H1121" s="17"/>
      <c r="I1121" s="17"/>
      <c r="J1121" s="17"/>
      <c r="K1121" s="17"/>
      <c r="L1121" s="17"/>
    </row>
    <row r="1122">
      <c r="A1122" s="11" t="str">
        <f t="shared" si="1"/>
        <v/>
      </c>
      <c r="B1122" s="16"/>
      <c r="C1122" s="16"/>
      <c r="D1122" s="16"/>
      <c r="E1122" s="16"/>
      <c r="F1122" s="17"/>
      <c r="G1122" s="17"/>
      <c r="H1122" s="17"/>
      <c r="I1122" s="17"/>
      <c r="J1122" s="17"/>
      <c r="K1122" s="17"/>
      <c r="L1122" s="17"/>
    </row>
    <row r="1123">
      <c r="A1123" s="11" t="str">
        <f t="shared" si="1"/>
        <v/>
      </c>
      <c r="B1123" s="16"/>
      <c r="C1123" s="16"/>
      <c r="D1123" s="16"/>
      <c r="E1123" s="16"/>
      <c r="F1123" s="17"/>
      <c r="G1123" s="17"/>
      <c r="H1123" s="17"/>
      <c r="I1123" s="17"/>
      <c r="J1123" s="17"/>
      <c r="K1123" s="17"/>
      <c r="L1123" s="17"/>
    </row>
    <row r="1124">
      <c r="A1124" s="11" t="str">
        <f t="shared" si="1"/>
        <v/>
      </c>
      <c r="B1124" s="16"/>
      <c r="C1124" s="16"/>
      <c r="D1124" s="16"/>
      <c r="E1124" s="16"/>
      <c r="F1124" s="17"/>
      <c r="G1124" s="17"/>
      <c r="H1124" s="17"/>
      <c r="I1124" s="17"/>
      <c r="J1124" s="17"/>
      <c r="K1124" s="17"/>
      <c r="L1124" s="17"/>
    </row>
    <row r="1125">
      <c r="A1125" s="11" t="str">
        <f t="shared" si="1"/>
        <v/>
      </c>
      <c r="B1125" s="16"/>
      <c r="C1125" s="16"/>
      <c r="D1125" s="16"/>
      <c r="E1125" s="16"/>
      <c r="F1125" s="17"/>
      <c r="G1125" s="17"/>
      <c r="H1125" s="17"/>
      <c r="I1125" s="17"/>
      <c r="J1125" s="17"/>
      <c r="K1125" s="17"/>
      <c r="L1125" s="17"/>
    </row>
    <row r="1126">
      <c r="A1126" s="11" t="str">
        <f t="shared" si="1"/>
        <v/>
      </c>
      <c r="B1126" s="16"/>
      <c r="C1126" s="16"/>
      <c r="D1126" s="16"/>
      <c r="E1126" s="16"/>
      <c r="F1126" s="17"/>
      <c r="G1126" s="17"/>
      <c r="H1126" s="17"/>
      <c r="I1126" s="17"/>
      <c r="J1126" s="17"/>
      <c r="K1126" s="17"/>
      <c r="L1126" s="17"/>
    </row>
    <row r="1127">
      <c r="A1127" s="11" t="str">
        <f t="shared" si="1"/>
        <v/>
      </c>
      <c r="B1127" s="16"/>
      <c r="C1127" s="16"/>
      <c r="D1127" s="16"/>
      <c r="E1127" s="16"/>
      <c r="F1127" s="17"/>
      <c r="G1127" s="17"/>
      <c r="H1127" s="17"/>
      <c r="I1127" s="17"/>
      <c r="J1127" s="17"/>
      <c r="K1127" s="17"/>
      <c r="L1127" s="17"/>
    </row>
    <row r="1128">
      <c r="A1128" s="11" t="str">
        <f t="shared" si="1"/>
        <v/>
      </c>
      <c r="B1128" s="16"/>
      <c r="C1128" s="16"/>
      <c r="D1128" s="16"/>
      <c r="E1128" s="16"/>
      <c r="F1128" s="17"/>
      <c r="G1128" s="17"/>
      <c r="H1128" s="17"/>
      <c r="I1128" s="17"/>
      <c r="J1128" s="17"/>
      <c r="K1128" s="17"/>
      <c r="L1128" s="17"/>
    </row>
    <row r="1129">
      <c r="A1129" s="11" t="str">
        <f t="shared" si="1"/>
        <v/>
      </c>
      <c r="B1129" s="16"/>
      <c r="C1129" s="16"/>
      <c r="D1129" s="16"/>
      <c r="E1129" s="16"/>
      <c r="F1129" s="17"/>
      <c r="G1129" s="17"/>
      <c r="H1129" s="17"/>
      <c r="I1129" s="17"/>
      <c r="J1129" s="17"/>
      <c r="K1129" s="17"/>
      <c r="L1129" s="17"/>
    </row>
    <row r="1130">
      <c r="A1130" s="11" t="str">
        <f t="shared" si="1"/>
        <v/>
      </c>
      <c r="B1130" s="16"/>
      <c r="C1130" s="16"/>
      <c r="D1130" s="16"/>
      <c r="E1130" s="16"/>
      <c r="F1130" s="17"/>
      <c r="G1130" s="17"/>
      <c r="H1130" s="17"/>
      <c r="I1130" s="17"/>
      <c r="J1130" s="17"/>
      <c r="K1130" s="17"/>
      <c r="L1130" s="17"/>
    </row>
    <row r="1131">
      <c r="A1131" s="11" t="str">
        <f t="shared" si="1"/>
        <v/>
      </c>
      <c r="B1131" s="16"/>
      <c r="C1131" s="16"/>
      <c r="D1131" s="16"/>
      <c r="E1131" s="16"/>
      <c r="F1131" s="17"/>
      <c r="G1131" s="17"/>
      <c r="H1131" s="17"/>
      <c r="I1131" s="17"/>
      <c r="J1131" s="17"/>
      <c r="K1131" s="17"/>
      <c r="L1131" s="17"/>
    </row>
    <row r="1132">
      <c r="A1132" s="11" t="str">
        <f t="shared" si="1"/>
        <v/>
      </c>
      <c r="B1132" s="16"/>
      <c r="C1132" s="16"/>
      <c r="D1132" s="16"/>
      <c r="E1132" s="16"/>
      <c r="F1132" s="17"/>
      <c r="G1132" s="17"/>
      <c r="H1132" s="17"/>
      <c r="I1132" s="17"/>
      <c r="J1132" s="17"/>
      <c r="K1132" s="17"/>
      <c r="L1132" s="17"/>
    </row>
    <row r="1133">
      <c r="A1133" s="11" t="str">
        <f t="shared" si="1"/>
        <v/>
      </c>
      <c r="B1133" s="16"/>
      <c r="C1133" s="16"/>
      <c r="D1133" s="16"/>
      <c r="E1133" s="16"/>
      <c r="F1133" s="17"/>
      <c r="G1133" s="17"/>
      <c r="H1133" s="17"/>
      <c r="I1133" s="17"/>
      <c r="J1133" s="17"/>
      <c r="K1133" s="17"/>
      <c r="L1133" s="17"/>
    </row>
    <row r="1134">
      <c r="A1134" s="11" t="str">
        <f t="shared" si="1"/>
        <v/>
      </c>
      <c r="B1134" s="16"/>
      <c r="C1134" s="16"/>
      <c r="D1134" s="16"/>
      <c r="E1134" s="16"/>
      <c r="F1134" s="17"/>
      <c r="G1134" s="17"/>
      <c r="H1134" s="17"/>
      <c r="I1134" s="17"/>
      <c r="J1134" s="17"/>
      <c r="K1134" s="17"/>
      <c r="L1134" s="17"/>
    </row>
    <row r="1135">
      <c r="A1135" s="11" t="str">
        <f t="shared" si="1"/>
        <v/>
      </c>
      <c r="B1135" s="16"/>
      <c r="C1135" s="16"/>
      <c r="D1135" s="16"/>
      <c r="E1135" s="16"/>
      <c r="F1135" s="17"/>
      <c r="G1135" s="17"/>
      <c r="H1135" s="17"/>
      <c r="I1135" s="17"/>
      <c r="J1135" s="17"/>
      <c r="K1135" s="17"/>
      <c r="L1135" s="17"/>
    </row>
    <row r="1136">
      <c r="A1136" s="11" t="str">
        <f t="shared" si="1"/>
        <v/>
      </c>
      <c r="B1136" s="16"/>
      <c r="C1136" s="16"/>
      <c r="D1136" s="16"/>
      <c r="E1136" s="16"/>
      <c r="F1136" s="17"/>
      <c r="G1136" s="17"/>
      <c r="H1136" s="17"/>
      <c r="I1136" s="17"/>
      <c r="J1136" s="17"/>
      <c r="K1136" s="17"/>
      <c r="L1136" s="17"/>
    </row>
    <row r="1137">
      <c r="A1137" s="11" t="str">
        <f t="shared" si="1"/>
        <v/>
      </c>
      <c r="B1137" s="16"/>
      <c r="C1137" s="16"/>
      <c r="D1137" s="16"/>
      <c r="E1137" s="16"/>
      <c r="F1137" s="17"/>
      <c r="G1137" s="17"/>
      <c r="H1137" s="17"/>
      <c r="I1137" s="17"/>
      <c r="J1137" s="17"/>
      <c r="K1137" s="17"/>
      <c r="L1137" s="17"/>
    </row>
    <row r="1138">
      <c r="A1138" s="11" t="str">
        <f t="shared" si="1"/>
        <v/>
      </c>
      <c r="B1138" s="16"/>
      <c r="C1138" s="16"/>
      <c r="D1138" s="16"/>
      <c r="E1138" s="16"/>
      <c r="F1138" s="17"/>
      <c r="G1138" s="17"/>
      <c r="H1138" s="17"/>
      <c r="I1138" s="17"/>
      <c r="J1138" s="17"/>
      <c r="K1138" s="17"/>
      <c r="L1138" s="17"/>
    </row>
    <row r="1139">
      <c r="A1139" s="11" t="str">
        <f t="shared" si="1"/>
        <v/>
      </c>
      <c r="B1139" s="16"/>
      <c r="C1139" s="16"/>
      <c r="D1139" s="16"/>
      <c r="E1139" s="16"/>
      <c r="F1139" s="17"/>
      <c r="G1139" s="17"/>
      <c r="H1139" s="17"/>
      <c r="I1139" s="17"/>
      <c r="J1139" s="17"/>
      <c r="K1139" s="17"/>
      <c r="L1139" s="17"/>
    </row>
    <row r="1140">
      <c r="A1140" s="11" t="str">
        <f t="shared" si="1"/>
        <v/>
      </c>
      <c r="B1140" s="16"/>
      <c r="C1140" s="16"/>
      <c r="D1140" s="16"/>
      <c r="E1140" s="16"/>
      <c r="F1140" s="17"/>
      <c r="G1140" s="17"/>
      <c r="H1140" s="17"/>
      <c r="I1140" s="17"/>
      <c r="J1140" s="17"/>
      <c r="K1140" s="17"/>
      <c r="L1140" s="17"/>
    </row>
    <row r="1141">
      <c r="A1141" s="11" t="str">
        <f t="shared" si="1"/>
        <v/>
      </c>
      <c r="B1141" s="16"/>
      <c r="C1141" s="16"/>
      <c r="D1141" s="16"/>
      <c r="E1141" s="16"/>
      <c r="F1141" s="17"/>
      <c r="G1141" s="17"/>
      <c r="H1141" s="17"/>
      <c r="I1141" s="17"/>
      <c r="J1141" s="17"/>
      <c r="K1141" s="17"/>
      <c r="L1141" s="17"/>
    </row>
    <row r="1142">
      <c r="A1142" s="11" t="str">
        <f t="shared" si="1"/>
        <v/>
      </c>
      <c r="B1142" s="16"/>
      <c r="C1142" s="16"/>
      <c r="D1142" s="16"/>
      <c r="E1142" s="16"/>
      <c r="F1142" s="17"/>
      <c r="G1142" s="17"/>
      <c r="H1142" s="17"/>
      <c r="I1142" s="17"/>
      <c r="J1142" s="17"/>
      <c r="K1142" s="17"/>
      <c r="L1142" s="17"/>
    </row>
    <row r="1143">
      <c r="A1143" s="11" t="str">
        <f t="shared" si="1"/>
        <v/>
      </c>
      <c r="B1143" s="16"/>
      <c r="C1143" s="16"/>
      <c r="D1143" s="16"/>
      <c r="E1143" s="16"/>
      <c r="F1143" s="17"/>
      <c r="G1143" s="17"/>
      <c r="H1143" s="17"/>
      <c r="I1143" s="17"/>
      <c r="J1143" s="17"/>
      <c r="K1143" s="17"/>
      <c r="L1143" s="17"/>
    </row>
    <row r="1144">
      <c r="A1144" s="11" t="str">
        <f t="shared" si="1"/>
        <v/>
      </c>
      <c r="B1144" s="16"/>
      <c r="C1144" s="16"/>
      <c r="D1144" s="16"/>
      <c r="E1144" s="16"/>
      <c r="F1144" s="17"/>
      <c r="G1144" s="17"/>
      <c r="H1144" s="17"/>
      <c r="I1144" s="17"/>
      <c r="J1144" s="17"/>
      <c r="K1144" s="17"/>
      <c r="L1144" s="17"/>
    </row>
    <row r="1145">
      <c r="A1145" s="11" t="str">
        <f t="shared" si="1"/>
        <v/>
      </c>
      <c r="B1145" s="16"/>
      <c r="C1145" s="16"/>
      <c r="D1145" s="16"/>
      <c r="E1145" s="16"/>
      <c r="F1145" s="17"/>
      <c r="G1145" s="17"/>
      <c r="H1145" s="17"/>
      <c r="I1145" s="17"/>
      <c r="J1145" s="17"/>
      <c r="K1145" s="17"/>
      <c r="L1145" s="17"/>
    </row>
    <row r="1146">
      <c r="A1146" s="11" t="str">
        <f t="shared" si="1"/>
        <v/>
      </c>
      <c r="B1146" s="16"/>
      <c r="C1146" s="16"/>
      <c r="D1146" s="16"/>
      <c r="E1146" s="16"/>
      <c r="F1146" s="17"/>
      <c r="G1146" s="17"/>
      <c r="H1146" s="17"/>
      <c r="I1146" s="17"/>
      <c r="J1146" s="17"/>
      <c r="K1146" s="17"/>
      <c r="L1146" s="17"/>
    </row>
    <row r="1147">
      <c r="A1147" s="11" t="str">
        <f t="shared" si="1"/>
        <v/>
      </c>
      <c r="B1147" s="16"/>
      <c r="C1147" s="16"/>
      <c r="D1147" s="16"/>
      <c r="E1147" s="16"/>
      <c r="F1147" s="17"/>
      <c r="G1147" s="17"/>
      <c r="H1147" s="17"/>
      <c r="I1147" s="17"/>
      <c r="J1147" s="17"/>
      <c r="K1147" s="17"/>
      <c r="L1147" s="17"/>
    </row>
    <row r="1148">
      <c r="A1148" s="11" t="str">
        <f t="shared" si="1"/>
        <v/>
      </c>
      <c r="B1148" s="16"/>
      <c r="C1148" s="16"/>
      <c r="D1148" s="16"/>
      <c r="E1148" s="16"/>
      <c r="F1148" s="17"/>
      <c r="G1148" s="17"/>
      <c r="H1148" s="17"/>
      <c r="I1148" s="17"/>
      <c r="J1148" s="17"/>
      <c r="K1148" s="17"/>
      <c r="L1148" s="17"/>
    </row>
    <row r="1149">
      <c r="A1149" s="11" t="str">
        <f t="shared" si="1"/>
        <v/>
      </c>
      <c r="B1149" s="16"/>
      <c r="C1149" s="16"/>
      <c r="D1149" s="16"/>
      <c r="E1149" s="16"/>
      <c r="F1149" s="17"/>
      <c r="G1149" s="17"/>
      <c r="H1149" s="17"/>
      <c r="I1149" s="17"/>
      <c r="J1149" s="17"/>
      <c r="K1149" s="17"/>
      <c r="L1149" s="17"/>
    </row>
    <row r="1150">
      <c r="A1150" s="11" t="str">
        <f t="shared" si="1"/>
        <v/>
      </c>
      <c r="B1150" s="16"/>
      <c r="C1150" s="16"/>
      <c r="D1150" s="16"/>
      <c r="E1150" s="16"/>
      <c r="F1150" s="17"/>
      <c r="G1150" s="17"/>
      <c r="H1150" s="17"/>
      <c r="I1150" s="17"/>
      <c r="J1150" s="17"/>
      <c r="K1150" s="17"/>
      <c r="L1150" s="17"/>
    </row>
    <row r="1151">
      <c r="A1151" s="11" t="str">
        <f t="shared" si="1"/>
        <v/>
      </c>
      <c r="B1151" s="16"/>
      <c r="C1151" s="16"/>
      <c r="D1151" s="16"/>
      <c r="E1151" s="16"/>
      <c r="F1151" s="17"/>
      <c r="G1151" s="17"/>
      <c r="H1151" s="17"/>
      <c r="I1151" s="17"/>
      <c r="J1151" s="17"/>
      <c r="K1151" s="17"/>
      <c r="L1151" s="17"/>
    </row>
    <row r="1152">
      <c r="A1152" s="11" t="str">
        <f t="shared" si="1"/>
        <v/>
      </c>
      <c r="B1152" s="16"/>
      <c r="C1152" s="16"/>
      <c r="D1152" s="16"/>
      <c r="E1152" s="16"/>
      <c r="F1152" s="17"/>
      <c r="G1152" s="17"/>
      <c r="H1152" s="17"/>
      <c r="I1152" s="17"/>
      <c r="J1152" s="17"/>
      <c r="K1152" s="17"/>
      <c r="L1152" s="17"/>
    </row>
    <row r="1153">
      <c r="A1153" s="11" t="str">
        <f t="shared" si="1"/>
        <v/>
      </c>
      <c r="B1153" s="16"/>
      <c r="C1153" s="16"/>
      <c r="D1153" s="16"/>
      <c r="E1153" s="16"/>
      <c r="F1153" s="17"/>
      <c r="G1153" s="17"/>
      <c r="H1153" s="17"/>
      <c r="I1153" s="17"/>
      <c r="J1153" s="17"/>
      <c r="K1153" s="17"/>
      <c r="L1153" s="17"/>
    </row>
    <row r="1154">
      <c r="A1154" s="11" t="str">
        <f t="shared" si="1"/>
        <v/>
      </c>
      <c r="B1154" s="16"/>
      <c r="C1154" s="16"/>
      <c r="D1154" s="16"/>
      <c r="E1154" s="16"/>
      <c r="F1154" s="17"/>
      <c r="G1154" s="17"/>
      <c r="H1154" s="17"/>
      <c r="I1154" s="17"/>
      <c r="J1154" s="17"/>
      <c r="K1154" s="17"/>
      <c r="L1154" s="17"/>
    </row>
    <row r="1155">
      <c r="A1155" s="11" t="str">
        <f t="shared" si="1"/>
        <v/>
      </c>
      <c r="B1155" s="16"/>
      <c r="C1155" s="16"/>
      <c r="D1155" s="16"/>
      <c r="E1155" s="16"/>
      <c r="F1155" s="17"/>
      <c r="G1155" s="17"/>
      <c r="H1155" s="17"/>
      <c r="I1155" s="17"/>
      <c r="J1155" s="17"/>
      <c r="K1155" s="17"/>
      <c r="L1155" s="17"/>
    </row>
    <row r="1156">
      <c r="A1156" s="11" t="str">
        <f t="shared" si="1"/>
        <v/>
      </c>
      <c r="B1156" s="16"/>
      <c r="C1156" s="16"/>
      <c r="D1156" s="16"/>
      <c r="E1156" s="16"/>
      <c r="F1156" s="17"/>
      <c r="G1156" s="17"/>
      <c r="H1156" s="17"/>
      <c r="I1156" s="17"/>
      <c r="J1156" s="17"/>
      <c r="K1156" s="17"/>
      <c r="L1156" s="17"/>
    </row>
    <row r="1157">
      <c r="A1157" s="11" t="str">
        <f t="shared" si="1"/>
        <v/>
      </c>
      <c r="B1157" s="16"/>
      <c r="C1157" s="16"/>
      <c r="D1157" s="16"/>
      <c r="E1157" s="16"/>
      <c r="F1157" s="17"/>
      <c r="G1157" s="17"/>
      <c r="H1157" s="17"/>
      <c r="I1157" s="17"/>
      <c r="J1157" s="17"/>
      <c r="K1157" s="17"/>
      <c r="L1157" s="17"/>
    </row>
    <row r="1158">
      <c r="A1158" s="11" t="str">
        <f t="shared" si="1"/>
        <v/>
      </c>
      <c r="B1158" s="16"/>
      <c r="C1158" s="16"/>
      <c r="D1158" s="16"/>
      <c r="E1158" s="16"/>
      <c r="F1158" s="17"/>
      <c r="G1158" s="17"/>
      <c r="H1158" s="17"/>
      <c r="I1158" s="17"/>
      <c r="J1158" s="17"/>
      <c r="K1158" s="17"/>
      <c r="L1158" s="17"/>
    </row>
    <row r="1159">
      <c r="A1159" s="11" t="str">
        <f t="shared" si="1"/>
        <v/>
      </c>
      <c r="B1159" s="16"/>
      <c r="C1159" s="16"/>
      <c r="D1159" s="16"/>
      <c r="E1159" s="16"/>
      <c r="F1159" s="17"/>
      <c r="G1159" s="17"/>
      <c r="H1159" s="17"/>
      <c r="I1159" s="17"/>
      <c r="J1159" s="17"/>
      <c r="K1159" s="17"/>
      <c r="L1159" s="17"/>
    </row>
    <row r="1160">
      <c r="A1160" s="11" t="str">
        <f t="shared" si="1"/>
        <v/>
      </c>
      <c r="B1160" s="16"/>
      <c r="C1160" s="16"/>
      <c r="D1160" s="16"/>
      <c r="E1160" s="16"/>
      <c r="F1160" s="17"/>
      <c r="G1160" s="17"/>
      <c r="H1160" s="17"/>
      <c r="I1160" s="17"/>
      <c r="J1160" s="17"/>
      <c r="K1160" s="17"/>
      <c r="L1160" s="17"/>
    </row>
    <row r="1161">
      <c r="A1161" s="11" t="str">
        <f t="shared" si="1"/>
        <v/>
      </c>
      <c r="B1161" s="16"/>
      <c r="C1161" s="16"/>
      <c r="D1161" s="16"/>
      <c r="E1161" s="16"/>
      <c r="F1161" s="17"/>
      <c r="G1161" s="17"/>
      <c r="H1161" s="17"/>
      <c r="I1161" s="17"/>
      <c r="J1161" s="17"/>
      <c r="K1161" s="17"/>
      <c r="L1161" s="17"/>
    </row>
    <row r="1162">
      <c r="A1162" s="11" t="str">
        <f t="shared" si="1"/>
        <v/>
      </c>
      <c r="B1162" s="16"/>
      <c r="C1162" s="16"/>
      <c r="D1162" s="16"/>
      <c r="E1162" s="16"/>
      <c r="F1162" s="17"/>
      <c r="G1162" s="17"/>
      <c r="H1162" s="17"/>
      <c r="I1162" s="17"/>
      <c r="J1162" s="17"/>
      <c r="K1162" s="17"/>
      <c r="L1162" s="17"/>
    </row>
    <row r="1163">
      <c r="A1163" s="11" t="str">
        <f t="shared" si="1"/>
        <v/>
      </c>
      <c r="B1163" s="16"/>
      <c r="C1163" s="16"/>
      <c r="D1163" s="16"/>
      <c r="E1163" s="16"/>
      <c r="F1163" s="17"/>
      <c r="G1163" s="17"/>
      <c r="H1163" s="17"/>
      <c r="I1163" s="17"/>
      <c r="J1163" s="17"/>
      <c r="K1163" s="17"/>
      <c r="L1163" s="17"/>
    </row>
    <row r="1164">
      <c r="A1164" s="11" t="str">
        <f t="shared" si="1"/>
        <v/>
      </c>
      <c r="B1164" s="16"/>
      <c r="C1164" s="16"/>
      <c r="D1164" s="16"/>
      <c r="E1164" s="16"/>
      <c r="F1164" s="17"/>
      <c r="G1164" s="17"/>
      <c r="H1164" s="17"/>
      <c r="I1164" s="17"/>
      <c r="J1164" s="17"/>
      <c r="K1164" s="17"/>
      <c r="L1164" s="17"/>
    </row>
    <row r="1165">
      <c r="A1165" s="11" t="str">
        <f t="shared" si="1"/>
        <v/>
      </c>
      <c r="B1165" s="16"/>
      <c r="C1165" s="16"/>
      <c r="D1165" s="16"/>
      <c r="E1165" s="16"/>
      <c r="F1165" s="17"/>
      <c r="G1165" s="17"/>
      <c r="H1165" s="17"/>
      <c r="I1165" s="17"/>
      <c r="J1165" s="17"/>
      <c r="K1165" s="17"/>
      <c r="L1165" s="17"/>
    </row>
    <row r="1166">
      <c r="A1166" s="11" t="str">
        <f t="shared" si="1"/>
        <v/>
      </c>
      <c r="B1166" s="16"/>
      <c r="C1166" s="16"/>
      <c r="D1166" s="16"/>
      <c r="E1166" s="16"/>
      <c r="F1166" s="17"/>
      <c r="G1166" s="17"/>
      <c r="H1166" s="17"/>
      <c r="I1166" s="17"/>
      <c r="J1166" s="17"/>
      <c r="K1166" s="17"/>
      <c r="L1166" s="17"/>
    </row>
    <row r="1167">
      <c r="A1167" s="11" t="str">
        <f t="shared" si="1"/>
        <v/>
      </c>
      <c r="B1167" s="16"/>
      <c r="C1167" s="16"/>
      <c r="D1167" s="16"/>
      <c r="E1167" s="16"/>
      <c r="F1167" s="17"/>
      <c r="G1167" s="17"/>
      <c r="H1167" s="17"/>
      <c r="I1167" s="17"/>
      <c r="J1167" s="17"/>
      <c r="K1167" s="17"/>
      <c r="L1167" s="17"/>
    </row>
    <row r="1168">
      <c r="A1168" s="11" t="str">
        <f t="shared" si="1"/>
        <v/>
      </c>
      <c r="B1168" s="16"/>
      <c r="C1168" s="16"/>
      <c r="D1168" s="16"/>
      <c r="E1168" s="16"/>
      <c r="F1168" s="17"/>
      <c r="G1168" s="17"/>
      <c r="H1168" s="17"/>
      <c r="I1168" s="17"/>
      <c r="J1168" s="17"/>
      <c r="K1168" s="17"/>
      <c r="L1168" s="17"/>
    </row>
    <row r="1169">
      <c r="A1169" s="11" t="str">
        <f t="shared" si="1"/>
        <v/>
      </c>
      <c r="B1169" s="16"/>
      <c r="C1169" s="16"/>
      <c r="D1169" s="16"/>
      <c r="E1169" s="16"/>
      <c r="F1169" s="17"/>
      <c r="G1169" s="17"/>
      <c r="H1169" s="17"/>
      <c r="I1169" s="17"/>
      <c r="J1169" s="17"/>
      <c r="K1169" s="17"/>
      <c r="L1169" s="17"/>
    </row>
    <row r="1170">
      <c r="A1170" s="11" t="str">
        <f t="shared" si="1"/>
        <v/>
      </c>
      <c r="B1170" s="16"/>
      <c r="C1170" s="16"/>
      <c r="D1170" s="16"/>
      <c r="E1170" s="16"/>
      <c r="F1170" s="17"/>
      <c r="G1170" s="17"/>
      <c r="H1170" s="17"/>
      <c r="I1170" s="17"/>
      <c r="J1170" s="17"/>
      <c r="K1170" s="17"/>
      <c r="L1170" s="17"/>
    </row>
    <row r="1171">
      <c r="A1171" s="11" t="str">
        <f t="shared" si="1"/>
        <v/>
      </c>
      <c r="B1171" s="16"/>
      <c r="C1171" s="16"/>
      <c r="D1171" s="16"/>
      <c r="E1171" s="16"/>
      <c r="F1171" s="17"/>
      <c r="G1171" s="17"/>
      <c r="H1171" s="17"/>
      <c r="I1171" s="17"/>
      <c r="J1171" s="17"/>
      <c r="K1171" s="17"/>
      <c r="L1171" s="17"/>
    </row>
    <row r="1172">
      <c r="A1172" s="11" t="str">
        <f t="shared" si="1"/>
        <v/>
      </c>
      <c r="B1172" s="16"/>
      <c r="C1172" s="16"/>
      <c r="D1172" s="16"/>
      <c r="E1172" s="16"/>
      <c r="F1172" s="17"/>
      <c r="G1172" s="17"/>
      <c r="H1172" s="17"/>
      <c r="I1172" s="17"/>
      <c r="J1172" s="17"/>
      <c r="K1172" s="17"/>
      <c r="L1172" s="17"/>
    </row>
    <row r="1173">
      <c r="A1173" s="11" t="str">
        <f t="shared" si="1"/>
        <v/>
      </c>
      <c r="B1173" s="16"/>
      <c r="C1173" s="16"/>
      <c r="D1173" s="16"/>
      <c r="E1173" s="16"/>
      <c r="F1173" s="17"/>
      <c r="G1173" s="17"/>
      <c r="H1173" s="17"/>
      <c r="I1173" s="17"/>
      <c r="J1173" s="17"/>
      <c r="K1173" s="17"/>
      <c r="L1173" s="17"/>
    </row>
    <row r="1174">
      <c r="A1174" s="11" t="str">
        <f t="shared" si="1"/>
        <v/>
      </c>
      <c r="B1174" s="16"/>
      <c r="C1174" s="16"/>
      <c r="D1174" s="16"/>
      <c r="E1174" s="16"/>
      <c r="F1174" s="17"/>
      <c r="G1174" s="17"/>
      <c r="H1174" s="17"/>
      <c r="I1174" s="17"/>
      <c r="J1174" s="17"/>
      <c r="K1174" s="17"/>
      <c r="L1174" s="17"/>
    </row>
    <row r="1175">
      <c r="A1175" s="11" t="str">
        <f t="shared" si="1"/>
        <v/>
      </c>
      <c r="B1175" s="16"/>
      <c r="C1175" s="16"/>
      <c r="D1175" s="16"/>
      <c r="E1175" s="16"/>
      <c r="F1175" s="17"/>
      <c r="G1175" s="17"/>
      <c r="H1175" s="17"/>
      <c r="I1175" s="17"/>
      <c r="J1175" s="17"/>
      <c r="K1175" s="17"/>
      <c r="L1175" s="17"/>
    </row>
    <row r="1176">
      <c r="A1176" s="11" t="str">
        <f t="shared" si="1"/>
        <v/>
      </c>
      <c r="B1176" s="16"/>
      <c r="C1176" s="16"/>
      <c r="D1176" s="16"/>
      <c r="E1176" s="16"/>
      <c r="F1176" s="17"/>
      <c r="G1176" s="17"/>
      <c r="H1176" s="17"/>
      <c r="I1176" s="17"/>
      <c r="J1176" s="17"/>
      <c r="K1176" s="17"/>
      <c r="L1176" s="17"/>
    </row>
    <row r="1177">
      <c r="A1177" s="11" t="str">
        <f t="shared" si="1"/>
        <v/>
      </c>
      <c r="B1177" s="16"/>
      <c r="C1177" s="16"/>
      <c r="D1177" s="16"/>
      <c r="E1177" s="16"/>
      <c r="F1177" s="17"/>
      <c r="G1177" s="17"/>
      <c r="H1177" s="17"/>
      <c r="I1177" s="17"/>
      <c r="J1177" s="17"/>
      <c r="K1177" s="17"/>
      <c r="L1177" s="17"/>
    </row>
    <row r="1178">
      <c r="A1178" s="11" t="str">
        <f t="shared" si="1"/>
        <v/>
      </c>
      <c r="B1178" s="16"/>
      <c r="C1178" s="16"/>
      <c r="D1178" s="16"/>
      <c r="E1178" s="16"/>
      <c r="F1178" s="17"/>
      <c r="G1178" s="17"/>
      <c r="H1178" s="17"/>
      <c r="I1178" s="17"/>
      <c r="J1178" s="17"/>
      <c r="K1178" s="17"/>
      <c r="L1178" s="17"/>
    </row>
    <row r="1179">
      <c r="A1179" s="11" t="str">
        <f t="shared" si="1"/>
        <v/>
      </c>
      <c r="B1179" s="16"/>
      <c r="C1179" s="16"/>
      <c r="D1179" s="16"/>
      <c r="E1179" s="16"/>
      <c r="F1179" s="17"/>
      <c r="G1179" s="17"/>
      <c r="H1179" s="17"/>
      <c r="I1179" s="17"/>
      <c r="J1179" s="17"/>
      <c r="K1179" s="17"/>
      <c r="L1179" s="17"/>
    </row>
    <row r="1180">
      <c r="A1180" s="11" t="str">
        <f t="shared" si="1"/>
        <v/>
      </c>
      <c r="B1180" s="16"/>
      <c r="C1180" s="16"/>
      <c r="D1180" s="16"/>
      <c r="E1180" s="16"/>
      <c r="F1180" s="17"/>
      <c r="G1180" s="17"/>
      <c r="H1180" s="17"/>
      <c r="I1180" s="17"/>
      <c r="J1180" s="17"/>
      <c r="K1180" s="17"/>
      <c r="L1180" s="17"/>
    </row>
    <row r="1181">
      <c r="A1181" s="11" t="str">
        <f t="shared" si="1"/>
        <v/>
      </c>
      <c r="B1181" s="16"/>
      <c r="C1181" s="16"/>
      <c r="D1181" s="16"/>
      <c r="E1181" s="16"/>
      <c r="F1181" s="17"/>
      <c r="G1181" s="17"/>
      <c r="H1181" s="17"/>
      <c r="I1181" s="17"/>
      <c r="J1181" s="17"/>
      <c r="K1181" s="17"/>
      <c r="L1181" s="17"/>
    </row>
    <row r="1182">
      <c r="A1182" s="11" t="str">
        <f t="shared" si="1"/>
        <v/>
      </c>
      <c r="B1182" s="16"/>
      <c r="C1182" s="16"/>
      <c r="D1182" s="16"/>
      <c r="E1182" s="16"/>
      <c r="F1182" s="17"/>
      <c r="G1182" s="17"/>
      <c r="H1182" s="17"/>
      <c r="I1182" s="17"/>
      <c r="J1182" s="17"/>
      <c r="K1182" s="17"/>
      <c r="L1182" s="17"/>
    </row>
    <row r="1183">
      <c r="A1183" s="11" t="str">
        <f t="shared" si="1"/>
        <v/>
      </c>
      <c r="B1183" s="16"/>
      <c r="C1183" s="16"/>
      <c r="D1183" s="16"/>
      <c r="E1183" s="16"/>
      <c r="F1183" s="17"/>
      <c r="G1183" s="17"/>
      <c r="H1183" s="17"/>
      <c r="I1183" s="17"/>
      <c r="J1183" s="17"/>
      <c r="K1183" s="17"/>
      <c r="L1183" s="17"/>
    </row>
    <row r="1184">
      <c r="A1184" s="11" t="str">
        <f t="shared" si="1"/>
        <v/>
      </c>
      <c r="B1184" s="16"/>
      <c r="C1184" s="16"/>
      <c r="D1184" s="16"/>
      <c r="E1184" s="16"/>
      <c r="F1184" s="17"/>
      <c r="G1184" s="17"/>
      <c r="H1184" s="17"/>
      <c r="I1184" s="17"/>
      <c r="J1184" s="17"/>
      <c r="K1184" s="17"/>
      <c r="L1184" s="17"/>
    </row>
    <row r="1185">
      <c r="A1185" s="11" t="str">
        <f t="shared" si="1"/>
        <v/>
      </c>
      <c r="B1185" s="16"/>
      <c r="C1185" s="16"/>
      <c r="D1185" s="16"/>
      <c r="E1185" s="16"/>
      <c r="F1185" s="17"/>
      <c r="G1185" s="17"/>
      <c r="H1185" s="17"/>
      <c r="I1185" s="17"/>
      <c r="J1185" s="17"/>
      <c r="K1185" s="17"/>
      <c r="L1185" s="17"/>
    </row>
    <row r="1186">
      <c r="A1186" s="11" t="str">
        <f t="shared" si="1"/>
        <v/>
      </c>
      <c r="B1186" s="16"/>
      <c r="C1186" s="16"/>
      <c r="D1186" s="16"/>
      <c r="E1186" s="16"/>
      <c r="F1186" s="17"/>
      <c r="G1186" s="17"/>
      <c r="H1186" s="17"/>
      <c r="I1186" s="17"/>
      <c r="J1186" s="17"/>
      <c r="K1186" s="17"/>
      <c r="L1186" s="17"/>
    </row>
    <row r="1187">
      <c r="A1187" s="11" t="str">
        <f t="shared" si="1"/>
        <v/>
      </c>
      <c r="B1187" s="16"/>
      <c r="C1187" s="16"/>
      <c r="D1187" s="16"/>
      <c r="E1187" s="16"/>
      <c r="F1187" s="17"/>
      <c r="G1187" s="17"/>
      <c r="H1187" s="17"/>
      <c r="I1187" s="17"/>
      <c r="J1187" s="17"/>
      <c r="K1187" s="17"/>
      <c r="L1187" s="17"/>
    </row>
    <row r="1188">
      <c r="A1188" s="11" t="str">
        <f t="shared" si="1"/>
        <v/>
      </c>
      <c r="B1188" s="16"/>
      <c r="C1188" s="16"/>
      <c r="D1188" s="16"/>
      <c r="E1188" s="16"/>
      <c r="F1188" s="17"/>
      <c r="G1188" s="17"/>
      <c r="H1188" s="17"/>
      <c r="I1188" s="17"/>
      <c r="J1188" s="17"/>
      <c r="K1188" s="17"/>
      <c r="L1188" s="17"/>
    </row>
    <row r="1189">
      <c r="A1189" s="11" t="str">
        <f t="shared" si="1"/>
        <v/>
      </c>
      <c r="B1189" s="16"/>
      <c r="C1189" s="16"/>
      <c r="D1189" s="16"/>
      <c r="E1189" s="16"/>
      <c r="F1189" s="17"/>
      <c r="G1189" s="17"/>
      <c r="H1189" s="17"/>
      <c r="I1189" s="17"/>
      <c r="J1189" s="17"/>
      <c r="K1189" s="17"/>
      <c r="L1189" s="17"/>
    </row>
    <row r="1190">
      <c r="A1190" s="11" t="str">
        <f t="shared" si="1"/>
        <v/>
      </c>
      <c r="B1190" s="16"/>
      <c r="C1190" s="16"/>
      <c r="D1190" s="16"/>
      <c r="E1190" s="16"/>
      <c r="F1190" s="17"/>
      <c r="G1190" s="17"/>
      <c r="H1190" s="17"/>
      <c r="I1190" s="17"/>
      <c r="J1190" s="17"/>
      <c r="K1190" s="17"/>
      <c r="L1190" s="17"/>
    </row>
    <row r="1191">
      <c r="A1191" s="11" t="str">
        <f t="shared" si="1"/>
        <v/>
      </c>
      <c r="B1191" s="16"/>
      <c r="C1191" s="16"/>
      <c r="D1191" s="16"/>
      <c r="E1191" s="16"/>
      <c r="F1191" s="17"/>
      <c r="G1191" s="17"/>
      <c r="H1191" s="17"/>
      <c r="I1191" s="17"/>
      <c r="J1191" s="17"/>
      <c r="K1191" s="17"/>
      <c r="L1191" s="17"/>
    </row>
    <row r="1192">
      <c r="A1192" s="11" t="str">
        <f t="shared" si="1"/>
        <v/>
      </c>
      <c r="B1192" s="16"/>
      <c r="C1192" s="16"/>
      <c r="D1192" s="16"/>
      <c r="E1192" s="16"/>
      <c r="F1192" s="17"/>
      <c r="G1192" s="17"/>
      <c r="H1192" s="17"/>
      <c r="I1192" s="17"/>
      <c r="J1192" s="17"/>
      <c r="K1192" s="17"/>
      <c r="L1192" s="17"/>
    </row>
    <row r="1193">
      <c r="A1193" s="11" t="str">
        <f t="shared" si="1"/>
        <v/>
      </c>
      <c r="B1193" s="16"/>
      <c r="C1193" s="16"/>
      <c r="D1193" s="16"/>
      <c r="E1193" s="16"/>
      <c r="F1193" s="17"/>
      <c r="G1193" s="17"/>
      <c r="H1193" s="17"/>
      <c r="I1193" s="17"/>
      <c r="J1193" s="17"/>
      <c r="K1193" s="17"/>
      <c r="L1193" s="17"/>
    </row>
    <row r="1194">
      <c r="A1194" s="11" t="str">
        <f t="shared" si="1"/>
        <v/>
      </c>
      <c r="B1194" s="16"/>
      <c r="C1194" s="16"/>
      <c r="D1194" s="16"/>
      <c r="E1194" s="16"/>
      <c r="F1194" s="17"/>
      <c r="G1194" s="17"/>
      <c r="H1194" s="17"/>
      <c r="I1194" s="17"/>
      <c r="J1194" s="17"/>
      <c r="K1194" s="17"/>
      <c r="L1194" s="17"/>
    </row>
    <row r="1195">
      <c r="A1195" s="11" t="str">
        <f t="shared" si="1"/>
        <v/>
      </c>
      <c r="B1195" s="16"/>
      <c r="C1195" s="16"/>
      <c r="D1195" s="16"/>
      <c r="E1195" s="16"/>
      <c r="F1195" s="17"/>
      <c r="G1195" s="17"/>
      <c r="H1195" s="17"/>
      <c r="I1195" s="17"/>
      <c r="J1195" s="17"/>
      <c r="K1195" s="17"/>
      <c r="L1195" s="17"/>
    </row>
    <row r="1196">
      <c r="A1196" s="11" t="str">
        <f t="shared" si="1"/>
        <v/>
      </c>
      <c r="B1196" s="16"/>
      <c r="C1196" s="16"/>
      <c r="D1196" s="16"/>
      <c r="E1196" s="16"/>
      <c r="F1196" s="17"/>
      <c r="G1196" s="17"/>
      <c r="H1196" s="17"/>
      <c r="I1196" s="17"/>
      <c r="J1196" s="17"/>
      <c r="K1196" s="17"/>
      <c r="L1196" s="17"/>
    </row>
    <row r="1197">
      <c r="A1197" s="11" t="str">
        <f t="shared" si="1"/>
        <v/>
      </c>
      <c r="B1197" s="16"/>
      <c r="C1197" s="16"/>
      <c r="D1197" s="16"/>
      <c r="E1197" s="16"/>
      <c r="F1197" s="17"/>
      <c r="G1197" s="17"/>
      <c r="H1197" s="17"/>
      <c r="I1197" s="17"/>
      <c r="J1197" s="17"/>
      <c r="K1197" s="17"/>
      <c r="L1197" s="17"/>
    </row>
    <row r="1198">
      <c r="A1198" s="11" t="str">
        <f t="shared" si="1"/>
        <v/>
      </c>
      <c r="B1198" s="16"/>
      <c r="C1198" s="16"/>
      <c r="D1198" s="16"/>
      <c r="E1198" s="16"/>
      <c r="F1198" s="17"/>
      <c r="G1198" s="17"/>
      <c r="H1198" s="17"/>
      <c r="I1198" s="17"/>
      <c r="J1198" s="17"/>
      <c r="K1198" s="17"/>
      <c r="L1198" s="17"/>
    </row>
    <row r="1199">
      <c r="A1199" s="11" t="str">
        <f t="shared" si="1"/>
        <v/>
      </c>
      <c r="B1199" s="16"/>
      <c r="C1199" s="16"/>
      <c r="D1199" s="16"/>
      <c r="E1199" s="16"/>
      <c r="F1199" s="17"/>
      <c r="G1199" s="17"/>
      <c r="H1199" s="17"/>
      <c r="I1199" s="17"/>
      <c r="J1199" s="17"/>
      <c r="K1199" s="17"/>
      <c r="L1199" s="17"/>
    </row>
    <row r="1200">
      <c r="A1200" s="11" t="str">
        <f t="shared" si="1"/>
        <v/>
      </c>
      <c r="B1200" s="16"/>
      <c r="C1200" s="16"/>
      <c r="D1200" s="16"/>
      <c r="E1200" s="16"/>
      <c r="F1200" s="17"/>
      <c r="G1200" s="17"/>
      <c r="H1200" s="17"/>
      <c r="I1200" s="17"/>
      <c r="J1200" s="17"/>
      <c r="K1200" s="17"/>
      <c r="L1200" s="17"/>
    </row>
    <row r="1201">
      <c r="A1201" s="11" t="str">
        <f t="shared" si="1"/>
        <v/>
      </c>
      <c r="B1201" s="16"/>
      <c r="C1201" s="16"/>
      <c r="D1201" s="16"/>
      <c r="E1201" s="16"/>
      <c r="F1201" s="17"/>
      <c r="G1201" s="17"/>
      <c r="H1201" s="17"/>
      <c r="I1201" s="17"/>
      <c r="J1201" s="17"/>
      <c r="K1201" s="17"/>
      <c r="L1201" s="17"/>
    </row>
    <row r="1202">
      <c r="A1202" s="11" t="str">
        <f t="shared" si="1"/>
        <v/>
      </c>
      <c r="B1202" s="16"/>
      <c r="C1202" s="16"/>
      <c r="D1202" s="16"/>
      <c r="E1202" s="16"/>
      <c r="F1202" s="17"/>
      <c r="G1202" s="17"/>
      <c r="H1202" s="17"/>
      <c r="I1202" s="17"/>
      <c r="J1202" s="17"/>
      <c r="K1202" s="17"/>
      <c r="L1202" s="17"/>
    </row>
    <row r="1203">
      <c r="A1203" s="11" t="str">
        <f t="shared" si="1"/>
        <v/>
      </c>
      <c r="B1203" s="16"/>
      <c r="C1203" s="16"/>
      <c r="D1203" s="16"/>
      <c r="E1203" s="16"/>
      <c r="F1203" s="17"/>
      <c r="G1203" s="17"/>
      <c r="H1203" s="17"/>
      <c r="I1203" s="17"/>
      <c r="J1203" s="17"/>
      <c r="K1203" s="17"/>
      <c r="L1203" s="17"/>
    </row>
    <row r="1204">
      <c r="A1204" s="11" t="str">
        <f t="shared" si="1"/>
        <v/>
      </c>
      <c r="B1204" s="16"/>
      <c r="C1204" s="16"/>
      <c r="D1204" s="16"/>
      <c r="E1204" s="16"/>
      <c r="F1204" s="17"/>
      <c r="G1204" s="17"/>
      <c r="H1204" s="17"/>
      <c r="I1204" s="17"/>
      <c r="J1204" s="17"/>
      <c r="K1204" s="17"/>
      <c r="L1204" s="17"/>
    </row>
    <row r="1205">
      <c r="A1205" s="11" t="str">
        <f t="shared" si="1"/>
        <v/>
      </c>
      <c r="B1205" s="16"/>
      <c r="C1205" s="16"/>
      <c r="D1205" s="16"/>
      <c r="E1205" s="16"/>
      <c r="F1205" s="17"/>
      <c r="G1205" s="17"/>
      <c r="H1205" s="17"/>
      <c r="I1205" s="17"/>
      <c r="J1205" s="17"/>
      <c r="K1205" s="17"/>
      <c r="L1205" s="17"/>
    </row>
    <row r="1206">
      <c r="A1206" s="11" t="str">
        <f t="shared" si="1"/>
        <v/>
      </c>
      <c r="B1206" s="16"/>
      <c r="C1206" s="16"/>
      <c r="D1206" s="16"/>
      <c r="E1206" s="16"/>
      <c r="F1206" s="17"/>
      <c r="G1206" s="17"/>
      <c r="H1206" s="17"/>
      <c r="I1206" s="17"/>
      <c r="J1206" s="17"/>
      <c r="K1206" s="17"/>
      <c r="L1206" s="17"/>
    </row>
    <row r="1207">
      <c r="A1207" s="11" t="str">
        <f t="shared" si="1"/>
        <v/>
      </c>
      <c r="B1207" s="16"/>
      <c r="C1207" s="16"/>
      <c r="D1207" s="16"/>
      <c r="E1207" s="16"/>
      <c r="F1207" s="17"/>
      <c r="G1207" s="17"/>
      <c r="H1207" s="17"/>
      <c r="I1207" s="17"/>
      <c r="J1207" s="17"/>
      <c r="K1207" s="17"/>
      <c r="L1207" s="17"/>
    </row>
    <row r="1208">
      <c r="A1208" s="11" t="str">
        <f t="shared" si="1"/>
        <v/>
      </c>
      <c r="B1208" s="16"/>
      <c r="C1208" s="16"/>
      <c r="D1208" s="16"/>
      <c r="E1208" s="16"/>
      <c r="F1208" s="17"/>
      <c r="G1208" s="17"/>
      <c r="H1208" s="17"/>
      <c r="I1208" s="17"/>
      <c r="J1208" s="17"/>
      <c r="K1208" s="17"/>
      <c r="L1208" s="17"/>
    </row>
    <row r="1209">
      <c r="A1209" s="11" t="str">
        <f t="shared" si="1"/>
        <v/>
      </c>
      <c r="B1209" s="16"/>
      <c r="C1209" s="16"/>
      <c r="D1209" s="16"/>
      <c r="E1209" s="16"/>
      <c r="F1209" s="17"/>
      <c r="G1209" s="17"/>
      <c r="H1209" s="17"/>
      <c r="I1209" s="17"/>
      <c r="J1209" s="17"/>
      <c r="K1209" s="17"/>
      <c r="L1209" s="17"/>
    </row>
    <row r="1210">
      <c r="A1210" s="11" t="str">
        <f t="shared" si="1"/>
        <v/>
      </c>
      <c r="B1210" s="16"/>
      <c r="C1210" s="16"/>
      <c r="D1210" s="16"/>
      <c r="E1210" s="16"/>
      <c r="F1210" s="17"/>
      <c r="G1210" s="17"/>
      <c r="H1210" s="17"/>
      <c r="I1210" s="17"/>
      <c r="J1210" s="17"/>
      <c r="K1210" s="17"/>
      <c r="L1210" s="17"/>
    </row>
    <row r="1211">
      <c r="A1211" s="11" t="str">
        <f t="shared" si="1"/>
        <v/>
      </c>
      <c r="B1211" s="16"/>
      <c r="C1211" s="16"/>
      <c r="D1211" s="16"/>
      <c r="E1211" s="16"/>
      <c r="F1211" s="17"/>
      <c r="G1211" s="17"/>
      <c r="H1211" s="17"/>
      <c r="I1211" s="17"/>
      <c r="J1211" s="17"/>
      <c r="K1211" s="17"/>
      <c r="L1211" s="17"/>
    </row>
    <row r="1212">
      <c r="A1212" s="11" t="str">
        <f t="shared" si="1"/>
        <v/>
      </c>
      <c r="B1212" s="16"/>
      <c r="C1212" s="16"/>
      <c r="D1212" s="16"/>
      <c r="E1212" s="16"/>
      <c r="F1212" s="17"/>
      <c r="G1212" s="17"/>
      <c r="H1212" s="17"/>
      <c r="I1212" s="17"/>
      <c r="J1212" s="17"/>
      <c r="K1212" s="17"/>
      <c r="L1212" s="17"/>
    </row>
    <row r="1213">
      <c r="A1213" s="11" t="str">
        <f t="shared" si="1"/>
        <v/>
      </c>
      <c r="B1213" s="16"/>
      <c r="C1213" s="16"/>
      <c r="D1213" s="16"/>
      <c r="E1213" s="16"/>
      <c r="F1213" s="17"/>
      <c r="G1213" s="17"/>
      <c r="H1213" s="17"/>
      <c r="I1213" s="17"/>
      <c r="J1213" s="17"/>
      <c r="K1213" s="17"/>
      <c r="L1213" s="17"/>
    </row>
    <row r="1214">
      <c r="A1214" s="11" t="str">
        <f t="shared" si="1"/>
        <v/>
      </c>
      <c r="B1214" s="16"/>
      <c r="C1214" s="16"/>
      <c r="D1214" s="16"/>
      <c r="E1214" s="16"/>
      <c r="F1214" s="17"/>
      <c r="G1214" s="17"/>
      <c r="H1214" s="17"/>
      <c r="I1214" s="17"/>
      <c r="J1214" s="17"/>
      <c r="K1214" s="17"/>
      <c r="L1214" s="17"/>
    </row>
    <row r="1215">
      <c r="A1215" s="11" t="str">
        <f t="shared" si="1"/>
        <v/>
      </c>
      <c r="B1215" s="16"/>
      <c r="C1215" s="16"/>
      <c r="D1215" s="16"/>
      <c r="E1215" s="16"/>
      <c r="F1215" s="17"/>
      <c r="G1215" s="17"/>
      <c r="H1215" s="17"/>
      <c r="I1215" s="17"/>
      <c r="J1215" s="17"/>
      <c r="K1215" s="17"/>
      <c r="L1215" s="17"/>
    </row>
    <row r="1216">
      <c r="A1216" s="11" t="str">
        <f t="shared" si="1"/>
        <v/>
      </c>
      <c r="B1216" s="16"/>
      <c r="C1216" s="16"/>
      <c r="D1216" s="16"/>
      <c r="E1216" s="16"/>
      <c r="F1216" s="17"/>
      <c r="G1216" s="17"/>
      <c r="H1216" s="17"/>
      <c r="I1216" s="17"/>
      <c r="J1216" s="17"/>
      <c r="K1216" s="17"/>
      <c r="L1216" s="17"/>
    </row>
    <row r="1217">
      <c r="A1217" s="11" t="str">
        <f t="shared" si="1"/>
        <v/>
      </c>
      <c r="B1217" s="16"/>
      <c r="C1217" s="16"/>
      <c r="D1217" s="16"/>
      <c r="E1217" s="16"/>
      <c r="F1217" s="17"/>
      <c r="G1217" s="17"/>
      <c r="H1217" s="17"/>
      <c r="I1217" s="17"/>
      <c r="J1217" s="17"/>
      <c r="K1217" s="17"/>
      <c r="L1217" s="17"/>
    </row>
    <row r="1218">
      <c r="A1218" s="11" t="str">
        <f t="shared" si="1"/>
        <v/>
      </c>
      <c r="B1218" s="16"/>
      <c r="C1218" s="16"/>
      <c r="D1218" s="16"/>
      <c r="E1218" s="16"/>
      <c r="F1218" s="17"/>
      <c r="G1218" s="17"/>
      <c r="H1218" s="17"/>
      <c r="I1218" s="17"/>
      <c r="J1218" s="17"/>
      <c r="K1218" s="17"/>
      <c r="L1218" s="17"/>
    </row>
    <row r="1219">
      <c r="A1219" s="11" t="str">
        <f t="shared" si="1"/>
        <v/>
      </c>
      <c r="B1219" s="16"/>
      <c r="C1219" s="16"/>
      <c r="D1219" s="16"/>
      <c r="E1219" s="16"/>
      <c r="F1219" s="17"/>
      <c r="G1219" s="17"/>
      <c r="H1219" s="17"/>
      <c r="I1219" s="17"/>
      <c r="J1219" s="17"/>
      <c r="K1219" s="17"/>
      <c r="L1219" s="17"/>
    </row>
    <row r="1220">
      <c r="A1220" s="11" t="str">
        <f t="shared" si="1"/>
        <v/>
      </c>
      <c r="B1220" s="16"/>
      <c r="C1220" s="16"/>
      <c r="D1220" s="16"/>
      <c r="E1220" s="16"/>
      <c r="F1220" s="17"/>
      <c r="G1220" s="17"/>
      <c r="H1220" s="17"/>
      <c r="I1220" s="17"/>
      <c r="J1220" s="17"/>
      <c r="K1220" s="17"/>
      <c r="L1220" s="17"/>
    </row>
    <row r="1221">
      <c r="A1221" s="11" t="str">
        <f t="shared" si="1"/>
        <v/>
      </c>
      <c r="B1221" s="16"/>
      <c r="C1221" s="16"/>
      <c r="D1221" s="16"/>
      <c r="E1221" s="16"/>
      <c r="F1221" s="17"/>
      <c r="G1221" s="17"/>
      <c r="H1221" s="17"/>
      <c r="I1221" s="17"/>
      <c r="J1221" s="17"/>
      <c r="K1221" s="17"/>
      <c r="L1221" s="17"/>
    </row>
    <row r="1222">
      <c r="A1222" s="11" t="str">
        <f t="shared" si="1"/>
        <v/>
      </c>
      <c r="B1222" s="16"/>
      <c r="C1222" s="16"/>
      <c r="D1222" s="16"/>
      <c r="E1222" s="16"/>
      <c r="F1222" s="17"/>
      <c r="G1222" s="17"/>
      <c r="H1222" s="17"/>
      <c r="I1222" s="17"/>
      <c r="J1222" s="17"/>
      <c r="K1222" s="17"/>
      <c r="L1222" s="17"/>
    </row>
    <row r="1223">
      <c r="A1223" s="11" t="str">
        <f t="shared" si="1"/>
        <v/>
      </c>
      <c r="B1223" s="16"/>
      <c r="C1223" s="16"/>
      <c r="D1223" s="16"/>
      <c r="E1223" s="16"/>
      <c r="F1223" s="17"/>
      <c r="G1223" s="17"/>
      <c r="H1223" s="17"/>
      <c r="I1223" s="17"/>
      <c r="J1223" s="17"/>
      <c r="K1223" s="17"/>
      <c r="L1223" s="17"/>
    </row>
    <row r="1224">
      <c r="A1224" s="11" t="str">
        <f t="shared" si="1"/>
        <v/>
      </c>
      <c r="B1224" s="16"/>
      <c r="C1224" s="16"/>
      <c r="D1224" s="16"/>
      <c r="E1224" s="16"/>
      <c r="F1224" s="17"/>
      <c r="G1224" s="17"/>
      <c r="H1224" s="17"/>
      <c r="I1224" s="17"/>
      <c r="J1224" s="17"/>
      <c r="K1224" s="17"/>
      <c r="L1224" s="17"/>
    </row>
    <row r="1225">
      <c r="A1225" s="11" t="str">
        <f t="shared" si="1"/>
        <v/>
      </c>
      <c r="B1225" s="16"/>
      <c r="C1225" s="16"/>
      <c r="D1225" s="16"/>
      <c r="E1225" s="16"/>
      <c r="F1225" s="17"/>
      <c r="G1225" s="17"/>
      <c r="H1225" s="17"/>
      <c r="I1225" s="17"/>
      <c r="J1225" s="17"/>
      <c r="K1225" s="17"/>
      <c r="L1225" s="17"/>
    </row>
    <row r="1226">
      <c r="A1226" s="11" t="str">
        <f t="shared" si="1"/>
        <v/>
      </c>
      <c r="B1226" s="16"/>
      <c r="C1226" s="16"/>
      <c r="D1226" s="16"/>
      <c r="E1226" s="16"/>
      <c r="F1226" s="17"/>
      <c r="G1226" s="17"/>
      <c r="H1226" s="17"/>
      <c r="I1226" s="17"/>
      <c r="J1226" s="17"/>
      <c r="K1226" s="17"/>
      <c r="L1226" s="17"/>
    </row>
    <row r="1227">
      <c r="A1227" s="11" t="str">
        <f t="shared" si="1"/>
        <v/>
      </c>
      <c r="B1227" s="16"/>
      <c r="C1227" s="16"/>
      <c r="D1227" s="16"/>
      <c r="E1227" s="16"/>
      <c r="F1227" s="17"/>
      <c r="G1227" s="17"/>
      <c r="H1227" s="17"/>
      <c r="I1227" s="17"/>
      <c r="J1227" s="17"/>
      <c r="K1227" s="17"/>
      <c r="L1227" s="17"/>
    </row>
    <row r="1228">
      <c r="A1228" s="11" t="str">
        <f t="shared" si="1"/>
        <v/>
      </c>
      <c r="B1228" s="16"/>
      <c r="C1228" s="16"/>
      <c r="D1228" s="16"/>
      <c r="E1228" s="16"/>
      <c r="F1228" s="17"/>
      <c r="G1228" s="17"/>
      <c r="H1228" s="17"/>
      <c r="I1228" s="17"/>
      <c r="J1228" s="17"/>
      <c r="K1228" s="17"/>
      <c r="L1228" s="17"/>
    </row>
    <row r="1229">
      <c r="A1229" s="11" t="str">
        <f t="shared" si="1"/>
        <v/>
      </c>
      <c r="B1229" s="16"/>
      <c r="C1229" s="16"/>
      <c r="D1229" s="16"/>
      <c r="E1229" s="16"/>
      <c r="F1229" s="17"/>
      <c r="G1229" s="17"/>
      <c r="H1229" s="17"/>
      <c r="I1229" s="17"/>
      <c r="J1229" s="17"/>
      <c r="K1229" s="17"/>
      <c r="L1229" s="17"/>
    </row>
    <row r="1230">
      <c r="A1230" s="11" t="str">
        <f t="shared" si="1"/>
        <v/>
      </c>
      <c r="B1230" s="16"/>
      <c r="C1230" s="16"/>
      <c r="D1230" s="16"/>
      <c r="E1230" s="16"/>
      <c r="F1230" s="17"/>
      <c r="G1230" s="17"/>
      <c r="H1230" s="17"/>
      <c r="I1230" s="17"/>
      <c r="J1230" s="17"/>
      <c r="K1230" s="17"/>
      <c r="L1230" s="17"/>
    </row>
    <row r="1231">
      <c r="A1231" s="11" t="str">
        <f t="shared" si="1"/>
        <v/>
      </c>
      <c r="B1231" s="16"/>
      <c r="C1231" s="16"/>
      <c r="D1231" s="16"/>
      <c r="E1231" s="16"/>
      <c r="F1231" s="17"/>
      <c r="G1231" s="17"/>
      <c r="H1231" s="17"/>
      <c r="I1231" s="17"/>
      <c r="J1231" s="17"/>
      <c r="K1231" s="17"/>
      <c r="L1231" s="17"/>
    </row>
    <row r="1232">
      <c r="A1232" s="11" t="str">
        <f t="shared" si="1"/>
        <v/>
      </c>
      <c r="B1232" s="16"/>
      <c r="C1232" s="16"/>
      <c r="D1232" s="16"/>
      <c r="E1232" s="16"/>
      <c r="F1232" s="17"/>
      <c r="G1232" s="17"/>
      <c r="H1232" s="17"/>
      <c r="I1232" s="17"/>
      <c r="J1232" s="17"/>
      <c r="K1232" s="17"/>
      <c r="L1232" s="17"/>
    </row>
    <row r="1233">
      <c r="A1233" s="11" t="str">
        <f t="shared" si="1"/>
        <v/>
      </c>
      <c r="B1233" s="16"/>
      <c r="C1233" s="16"/>
      <c r="D1233" s="16"/>
      <c r="E1233" s="16"/>
      <c r="F1233" s="17"/>
      <c r="G1233" s="17"/>
      <c r="H1233" s="17"/>
      <c r="I1233" s="17"/>
      <c r="J1233" s="17"/>
      <c r="K1233" s="17"/>
      <c r="L1233" s="17"/>
    </row>
    <row r="1234">
      <c r="A1234" s="11" t="str">
        <f t="shared" si="1"/>
        <v/>
      </c>
      <c r="B1234" s="16"/>
      <c r="C1234" s="16"/>
      <c r="D1234" s="16"/>
      <c r="E1234" s="16"/>
      <c r="F1234" s="17"/>
      <c r="G1234" s="17"/>
      <c r="H1234" s="17"/>
      <c r="I1234" s="17"/>
      <c r="J1234" s="17"/>
      <c r="K1234" s="17"/>
      <c r="L1234" s="17"/>
    </row>
    <row r="1235">
      <c r="A1235" s="11" t="str">
        <f t="shared" si="1"/>
        <v/>
      </c>
      <c r="B1235" s="16"/>
      <c r="C1235" s="16"/>
      <c r="D1235" s="16"/>
      <c r="E1235" s="16"/>
      <c r="F1235" s="17"/>
      <c r="G1235" s="17"/>
      <c r="H1235" s="17"/>
      <c r="I1235" s="17"/>
      <c r="J1235" s="17"/>
      <c r="K1235" s="17"/>
      <c r="L1235" s="17"/>
    </row>
    <row r="1236">
      <c r="A1236" s="11" t="str">
        <f t="shared" si="1"/>
        <v/>
      </c>
      <c r="B1236" s="16"/>
      <c r="C1236" s="16"/>
      <c r="D1236" s="16"/>
      <c r="E1236" s="16"/>
      <c r="F1236" s="17"/>
      <c r="G1236" s="17"/>
      <c r="H1236" s="17"/>
      <c r="I1236" s="17"/>
      <c r="J1236" s="17"/>
      <c r="K1236" s="17"/>
      <c r="L1236" s="17"/>
    </row>
    <row r="1237">
      <c r="A1237" s="11" t="str">
        <f t="shared" si="1"/>
        <v/>
      </c>
      <c r="B1237" s="16"/>
      <c r="C1237" s="16"/>
      <c r="D1237" s="16"/>
      <c r="E1237" s="16"/>
      <c r="F1237" s="17"/>
      <c r="G1237" s="17"/>
      <c r="H1237" s="17"/>
      <c r="I1237" s="17"/>
      <c r="J1237" s="17"/>
      <c r="K1237" s="17"/>
      <c r="L1237" s="17"/>
    </row>
    <row r="1238">
      <c r="A1238" s="11" t="str">
        <f t="shared" si="1"/>
        <v/>
      </c>
      <c r="B1238" s="16"/>
      <c r="C1238" s="16"/>
      <c r="D1238" s="16"/>
      <c r="E1238" s="16"/>
      <c r="F1238" s="17"/>
      <c r="G1238" s="17"/>
      <c r="H1238" s="17"/>
      <c r="I1238" s="17"/>
      <c r="J1238" s="17"/>
      <c r="K1238" s="17"/>
      <c r="L1238" s="17"/>
    </row>
    <row r="1239">
      <c r="A1239" s="11" t="str">
        <f t="shared" si="1"/>
        <v/>
      </c>
      <c r="B1239" s="16"/>
      <c r="C1239" s="16"/>
      <c r="D1239" s="16"/>
      <c r="E1239" s="16"/>
      <c r="F1239" s="17"/>
      <c r="G1239" s="17"/>
      <c r="H1239" s="17"/>
      <c r="I1239" s="17"/>
      <c r="J1239" s="17"/>
      <c r="K1239" s="17"/>
      <c r="L1239" s="17"/>
    </row>
    <row r="1240">
      <c r="A1240" s="11" t="str">
        <f t="shared" si="1"/>
        <v/>
      </c>
      <c r="B1240" s="16"/>
      <c r="C1240" s="16"/>
      <c r="D1240" s="16"/>
      <c r="E1240" s="16"/>
      <c r="F1240" s="17"/>
      <c r="G1240" s="17"/>
      <c r="H1240" s="17"/>
      <c r="I1240" s="17"/>
      <c r="J1240" s="17"/>
      <c r="K1240" s="17"/>
      <c r="L1240" s="17"/>
    </row>
    <row r="1241">
      <c r="A1241" s="11" t="str">
        <f t="shared" si="1"/>
        <v/>
      </c>
      <c r="B1241" s="16"/>
      <c r="C1241" s="16"/>
      <c r="D1241" s="16"/>
      <c r="E1241" s="16"/>
      <c r="F1241" s="17"/>
      <c r="G1241" s="17"/>
      <c r="H1241" s="17"/>
      <c r="I1241" s="17"/>
      <c r="J1241" s="17"/>
      <c r="K1241" s="17"/>
      <c r="L1241" s="17"/>
    </row>
    <row r="1242">
      <c r="A1242" s="11" t="str">
        <f t="shared" si="1"/>
        <v/>
      </c>
      <c r="B1242" s="16"/>
      <c r="C1242" s="16"/>
      <c r="D1242" s="16"/>
      <c r="E1242" s="16"/>
      <c r="F1242" s="17"/>
      <c r="G1242" s="17"/>
      <c r="H1242" s="17"/>
      <c r="I1242" s="17"/>
      <c r="J1242" s="17"/>
      <c r="K1242" s="17"/>
      <c r="L1242" s="17"/>
    </row>
    <row r="1243">
      <c r="A1243" s="11" t="str">
        <f t="shared" si="1"/>
        <v/>
      </c>
      <c r="B1243" s="16"/>
      <c r="C1243" s="16"/>
      <c r="D1243" s="16"/>
      <c r="E1243" s="16"/>
      <c r="F1243" s="17"/>
      <c r="G1243" s="17"/>
      <c r="H1243" s="17"/>
      <c r="I1243" s="17"/>
      <c r="J1243" s="17"/>
      <c r="K1243" s="17"/>
      <c r="L1243" s="17"/>
    </row>
    <row r="1244">
      <c r="A1244" s="11" t="str">
        <f t="shared" si="1"/>
        <v/>
      </c>
      <c r="B1244" s="16"/>
      <c r="C1244" s="16"/>
      <c r="D1244" s="16"/>
      <c r="E1244" s="16"/>
      <c r="F1244" s="17"/>
      <c r="G1244" s="17"/>
      <c r="H1244" s="17"/>
      <c r="I1244" s="17"/>
      <c r="J1244" s="17"/>
      <c r="K1244" s="17"/>
      <c r="L1244" s="17"/>
    </row>
    <row r="1245">
      <c r="A1245" s="11" t="str">
        <f t="shared" si="1"/>
        <v/>
      </c>
      <c r="B1245" s="16"/>
      <c r="C1245" s="16"/>
      <c r="D1245" s="16"/>
      <c r="E1245" s="16"/>
      <c r="F1245" s="17"/>
      <c r="G1245" s="17"/>
      <c r="H1245" s="17"/>
      <c r="I1245" s="17"/>
      <c r="J1245" s="17"/>
      <c r="K1245" s="17"/>
      <c r="L1245" s="17"/>
    </row>
    <row r="1246">
      <c r="A1246" s="11" t="str">
        <f t="shared" si="1"/>
        <v/>
      </c>
      <c r="B1246" s="16"/>
      <c r="C1246" s="16"/>
      <c r="D1246" s="16"/>
      <c r="E1246" s="16"/>
      <c r="F1246" s="17"/>
      <c r="G1246" s="17"/>
      <c r="H1246" s="17"/>
      <c r="I1246" s="17"/>
      <c r="J1246" s="17"/>
      <c r="K1246" s="17"/>
      <c r="L1246" s="17"/>
    </row>
    <row r="1247">
      <c r="A1247" s="11" t="str">
        <f t="shared" si="1"/>
        <v/>
      </c>
      <c r="B1247" s="16"/>
      <c r="C1247" s="16"/>
      <c r="D1247" s="16"/>
      <c r="E1247" s="16"/>
      <c r="F1247" s="17"/>
      <c r="G1247" s="17"/>
      <c r="H1247" s="17"/>
      <c r="I1247" s="17"/>
      <c r="J1247" s="17"/>
      <c r="K1247" s="17"/>
      <c r="L1247" s="17"/>
    </row>
    <row r="1248">
      <c r="A1248" s="11" t="str">
        <f t="shared" si="1"/>
        <v/>
      </c>
      <c r="B1248" s="16"/>
      <c r="C1248" s="16"/>
      <c r="D1248" s="16"/>
      <c r="E1248" s="16"/>
      <c r="F1248" s="17"/>
      <c r="G1248" s="17"/>
      <c r="H1248" s="17"/>
      <c r="I1248" s="17"/>
      <c r="J1248" s="17"/>
      <c r="K1248" s="17"/>
      <c r="L1248" s="17"/>
    </row>
    <row r="1249">
      <c r="A1249" s="11" t="str">
        <f t="shared" si="1"/>
        <v/>
      </c>
      <c r="B1249" s="16"/>
      <c r="C1249" s="16"/>
      <c r="D1249" s="16"/>
      <c r="E1249" s="16"/>
      <c r="F1249" s="17"/>
      <c r="G1249" s="17"/>
      <c r="H1249" s="17"/>
      <c r="I1249" s="17"/>
      <c r="J1249" s="17"/>
      <c r="K1249" s="17"/>
      <c r="L1249" s="17"/>
    </row>
    <row r="1250">
      <c r="A1250" s="11" t="str">
        <f t="shared" si="1"/>
        <v/>
      </c>
      <c r="B1250" s="16"/>
      <c r="C1250" s="16"/>
      <c r="D1250" s="16"/>
      <c r="E1250" s="16"/>
      <c r="F1250" s="17"/>
      <c r="G1250" s="17"/>
      <c r="H1250" s="17"/>
      <c r="I1250" s="17"/>
      <c r="J1250" s="17"/>
      <c r="K1250" s="17"/>
      <c r="L1250" s="17"/>
    </row>
    <row r="1251">
      <c r="A1251" s="11" t="str">
        <f t="shared" si="1"/>
        <v/>
      </c>
      <c r="B1251" s="16"/>
      <c r="C1251" s="16"/>
      <c r="D1251" s="16"/>
      <c r="E1251" s="16"/>
      <c r="F1251" s="17"/>
      <c r="G1251" s="17"/>
      <c r="H1251" s="17"/>
      <c r="I1251" s="17"/>
      <c r="J1251" s="17"/>
      <c r="K1251" s="17"/>
      <c r="L1251" s="17"/>
    </row>
    <row r="1252">
      <c r="A1252" s="11" t="str">
        <f t="shared" si="1"/>
        <v/>
      </c>
      <c r="B1252" s="16"/>
      <c r="C1252" s="16"/>
      <c r="D1252" s="16"/>
      <c r="E1252" s="16"/>
      <c r="F1252" s="17"/>
      <c r="G1252" s="17"/>
      <c r="H1252" s="17"/>
      <c r="I1252" s="17"/>
      <c r="J1252" s="17"/>
      <c r="K1252" s="17"/>
      <c r="L1252" s="17"/>
    </row>
    <row r="1253">
      <c r="A1253" s="11" t="str">
        <f t="shared" si="1"/>
        <v/>
      </c>
      <c r="B1253" s="16"/>
      <c r="C1253" s="16"/>
      <c r="D1253" s="16"/>
      <c r="E1253" s="16"/>
      <c r="F1253" s="17"/>
      <c r="G1253" s="17"/>
      <c r="H1253" s="17"/>
      <c r="I1253" s="17"/>
      <c r="J1253" s="17"/>
      <c r="K1253" s="17"/>
      <c r="L1253" s="17"/>
    </row>
    <row r="1254">
      <c r="A1254" s="11" t="str">
        <f t="shared" si="1"/>
        <v/>
      </c>
      <c r="B1254" s="16"/>
      <c r="C1254" s="16"/>
      <c r="D1254" s="16"/>
      <c r="E1254" s="16"/>
      <c r="F1254" s="17"/>
      <c r="G1254" s="17"/>
      <c r="H1254" s="17"/>
      <c r="I1254" s="17"/>
      <c r="J1254" s="17"/>
      <c r="K1254" s="17"/>
      <c r="L1254" s="17"/>
    </row>
    <row r="1255">
      <c r="A1255" s="11" t="str">
        <f t="shared" si="1"/>
        <v/>
      </c>
      <c r="B1255" s="16"/>
      <c r="C1255" s="16"/>
      <c r="D1255" s="16"/>
      <c r="E1255" s="16"/>
      <c r="F1255" s="17"/>
      <c r="G1255" s="17"/>
      <c r="H1255" s="17"/>
      <c r="I1255" s="17"/>
      <c r="J1255" s="17"/>
      <c r="K1255" s="17"/>
      <c r="L1255" s="17"/>
    </row>
    <row r="1256">
      <c r="A1256" s="11" t="str">
        <f t="shared" si="1"/>
        <v/>
      </c>
      <c r="B1256" s="16"/>
      <c r="C1256" s="16"/>
      <c r="D1256" s="16"/>
      <c r="E1256" s="16"/>
      <c r="F1256" s="17"/>
      <c r="G1256" s="17"/>
      <c r="H1256" s="17"/>
      <c r="I1256" s="17"/>
      <c r="J1256" s="17"/>
      <c r="K1256" s="17"/>
      <c r="L1256" s="17"/>
    </row>
    <row r="1257">
      <c r="A1257" s="11" t="str">
        <f t="shared" si="1"/>
        <v/>
      </c>
      <c r="B1257" s="16"/>
      <c r="C1257" s="16"/>
      <c r="D1257" s="16"/>
      <c r="E1257" s="16"/>
      <c r="F1257" s="17"/>
      <c r="G1257" s="17"/>
      <c r="H1257" s="17"/>
      <c r="I1257" s="17"/>
      <c r="J1257" s="17"/>
      <c r="K1257" s="17"/>
      <c r="L1257" s="17"/>
    </row>
    <row r="1258">
      <c r="A1258" s="11" t="str">
        <f t="shared" si="1"/>
        <v/>
      </c>
      <c r="B1258" s="16"/>
      <c r="C1258" s="16"/>
      <c r="D1258" s="16"/>
      <c r="E1258" s="16"/>
      <c r="F1258" s="17"/>
      <c r="G1258" s="17"/>
      <c r="H1258" s="17"/>
      <c r="I1258" s="17"/>
      <c r="J1258" s="17"/>
      <c r="K1258" s="17"/>
      <c r="L1258" s="17"/>
    </row>
    <row r="1259">
      <c r="A1259" s="11" t="str">
        <f t="shared" si="1"/>
        <v/>
      </c>
      <c r="B1259" s="16"/>
      <c r="C1259" s="16"/>
      <c r="D1259" s="16"/>
      <c r="E1259" s="16"/>
      <c r="F1259" s="17"/>
      <c r="G1259" s="17"/>
      <c r="H1259" s="17"/>
      <c r="I1259" s="17"/>
      <c r="J1259" s="17"/>
      <c r="K1259" s="17"/>
      <c r="L1259" s="17"/>
    </row>
    <row r="1260">
      <c r="A1260" s="11" t="str">
        <f t="shared" si="1"/>
        <v/>
      </c>
      <c r="B1260" s="16"/>
      <c r="C1260" s="16"/>
      <c r="D1260" s="16"/>
      <c r="E1260" s="16"/>
      <c r="F1260" s="17"/>
      <c r="G1260" s="17"/>
      <c r="H1260" s="17"/>
      <c r="I1260" s="17"/>
      <c r="J1260" s="17"/>
      <c r="K1260" s="17"/>
      <c r="L1260" s="17"/>
    </row>
    <row r="1261">
      <c r="A1261" s="11" t="str">
        <f t="shared" si="1"/>
        <v/>
      </c>
      <c r="B1261" s="16"/>
      <c r="C1261" s="16"/>
      <c r="D1261" s="16"/>
      <c r="E1261" s="16"/>
      <c r="F1261" s="17"/>
      <c r="G1261" s="17"/>
      <c r="H1261" s="17"/>
      <c r="I1261" s="17"/>
      <c r="J1261" s="17"/>
      <c r="K1261" s="17"/>
      <c r="L1261" s="17"/>
    </row>
    <row r="1262">
      <c r="A1262" s="11" t="str">
        <f t="shared" si="1"/>
        <v/>
      </c>
      <c r="B1262" s="16"/>
      <c r="C1262" s="16"/>
      <c r="D1262" s="16"/>
      <c r="E1262" s="16"/>
      <c r="F1262" s="17"/>
      <c r="G1262" s="17"/>
      <c r="H1262" s="17"/>
      <c r="I1262" s="17"/>
      <c r="J1262" s="17"/>
      <c r="K1262" s="17"/>
      <c r="L1262" s="17"/>
    </row>
    <row r="1263">
      <c r="A1263" s="11" t="str">
        <f t="shared" si="1"/>
        <v/>
      </c>
      <c r="B1263" s="16"/>
      <c r="C1263" s="16"/>
      <c r="D1263" s="16"/>
      <c r="E1263" s="16"/>
      <c r="F1263" s="17"/>
      <c r="G1263" s="17"/>
      <c r="H1263" s="17"/>
      <c r="I1263" s="17"/>
      <c r="J1263" s="17"/>
      <c r="K1263" s="17"/>
      <c r="L1263" s="17"/>
    </row>
    <row r="1264">
      <c r="A1264" s="11" t="str">
        <f t="shared" si="1"/>
        <v/>
      </c>
      <c r="B1264" s="16"/>
      <c r="C1264" s="16"/>
      <c r="D1264" s="16"/>
      <c r="E1264" s="16"/>
      <c r="F1264" s="17"/>
      <c r="G1264" s="17"/>
      <c r="H1264" s="17"/>
      <c r="I1264" s="17"/>
      <c r="J1264" s="17"/>
      <c r="K1264" s="17"/>
      <c r="L1264" s="17"/>
    </row>
    <row r="1265">
      <c r="A1265" s="11" t="str">
        <f t="shared" si="1"/>
        <v/>
      </c>
      <c r="B1265" s="16"/>
      <c r="C1265" s="16"/>
      <c r="D1265" s="16"/>
      <c r="E1265" s="16"/>
      <c r="F1265" s="17"/>
      <c r="G1265" s="17"/>
      <c r="H1265" s="17"/>
      <c r="I1265" s="17"/>
      <c r="J1265" s="17"/>
      <c r="K1265" s="17"/>
      <c r="L1265" s="17"/>
    </row>
    <row r="1266">
      <c r="A1266" s="11" t="str">
        <f t="shared" si="1"/>
        <v/>
      </c>
      <c r="B1266" s="16"/>
      <c r="C1266" s="16"/>
      <c r="D1266" s="16"/>
      <c r="E1266" s="16"/>
      <c r="F1266" s="17"/>
      <c r="G1266" s="17"/>
      <c r="H1266" s="17"/>
      <c r="I1266" s="17"/>
      <c r="J1266" s="17"/>
      <c r="K1266" s="17"/>
      <c r="L1266" s="17"/>
    </row>
    <row r="1267">
      <c r="A1267" s="11" t="str">
        <f t="shared" si="1"/>
        <v/>
      </c>
      <c r="B1267" s="16"/>
      <c r="C1267" s="16"/>
      <c r="D1267" s="16"/>
      <c r="E1267" s="16"/>
      <c r="F1267" s="17"/>
      <c r="G1267" s="17"/>
      <c r="H1267" s="17"/>
      <c r="I1267" s="17"/>
      <c r="J1267" s="17"/>
      <c r="K1267" s="17"/>
      <c r="L1267" s="17"/>
    </row>
    <row r="1268">
      <c r="A1268" s="11" t="str">
        <f t="shared" si="1"/>
        <v/>
      </c>
      <c r="B1268" s="16"/>
      <c r="C1268" s="16"/>
      <c r="D1268" s="16"/>
      <c r="E1268" s="16"/>
      <c r="F1268" s="17"/>
      <c r="G1268" s="17"/>
      <c r="H1268" s="17"/>
      <c r="I1268" s="17"/>
      <c r="J1268" s="17"/>
      <c r="K1268" s="17"/>
      <c r="L1268" s="17"/>
    </row>
    <row r="1269">
      <c r="A1269" s="11" t="str">
        <f t="shared" si="1"/>
        <v/>
      </c>
      <c r="B1269" s="16"/>
      <c r="C1269" s="16"/>
      <c r="D1269" s="16"/>
      <c r="E1269" s="16"/>
      <c r="F1269" s="17"/>
      <c r="G1269" s="17"/>
      <c r="H1269" s="17"/>
      <c r="I1269" s="17"/>
      <c r="J1269" s="17"/>
      <c r="K1269" s="17"/>
      <c r="L1269" s="17"/>
    </row>
    <row r="1270">
      <c r="A1270" s="11" t="str">
        <f t="shared" si="1"/>
        <v/>
      </c>
      <c r="B1270" s="16"/>
      <c r="C1270" s="16"/>
      <c r="D1270" s="16"/>
      <c r="E1270" s="16"/>
      <c r="F1270" s="17"/>
      <c r="G1270" s="17"/>
      <c r="H1270" s="17"/>
      <c r="I1270" s="17"/>
      <c r="J1270" s="17"/>
      <c r="K1270" s="17"/>
      <c r="L1270" s="17"/>
    </row>
    <row r="1271">
      <c r="A1271" s="11" t="str">
        <f t="shared" si="1"/>
        <v/>
      </c>
      <c r="B1271" s="16"/>
      <c r="C1271" s="16"/>
      <c r="D1271" s="16"/>
      <c r="E1271" s="16"/>
      <c r="F1271" s="17"/>
      <c r="G1271" s="17"/>
      <c r="H1271" s="17"/>
      <c r="I1271" s="17"/>
      <c r="J1271" s="17"/>
      <c r="K1271" s="17"/>
      <c r="L1271" s="17"/>
    </row>
    <row r="1272">
      <c r="A1272" s="11" t="str">
        <f t="shared" si="1"/>
        <v/>
      </c>
      <c r="B1272" s="16"/>
      <c r="C1272" s="16"/>
      <c r="D1272" s="16"/>
      <c r="E1272" s="16"/>
      <c r="F1272" s="17"/>
      <c r="G1272" s="17"/>
      <c r="H1272" s="17"/>
      <c r="I1272" s="17"/>
      <c r="J1272" s="17"/>
      <c r="K1272" s="17"/>
      <c r="L1272" s="17"/>
    </row>
    <row r="1273">
      <c r="A1273" s="11" t="str">
        <f t="shared" si="1"/>
        <v/>
      </c>
      <c r="B1273" s="16"/>
      <c r="C1273" s="16"/>
      <c r="D1273" s="16"/>
      <c r="E1273" s="16"/>
      <c r="F1273" s="17"/>
      <c r="G1273" s="17"/>
      <c r="H1273" s="17"/>
      <c r="I1273" s="17"/>
      <c r="J1273" s="17"/>
      <c r="K1273" s="17"/>
      <c r="L1273" s="17"/>
    </row>
    <row r="1274">
      <c r="A1274" s="11" t="str">
        <f t="shared" si="1"/>
        <v/>
      </c>
      <c r="B1274" s="16"/>
      <c r="C1274" s="16"/>
      <c r="D1274" s="16"/>
      <c r="E1274" s="16"/>
      <c r="F1274" s="17"/>
      <c r="G1274" s="17"/>
      <c r="H1274" s="17"/>
      <c r="I1274" s="17"/>
      <c r="J1274" s="17"/>
      <c r="K1274" s="17"/>
      <c r="L1274" s="17"/>
    </row>
    <row r="1275">
      <c r="A1275" s="11" t="str">
        <f t="shared" si="1"/>
        <v/>
      </c>
      <c r="B1275" s="16"/>
      <c r="C1275" s="16"/>
      <c r="D1275" s="16"/>
      <c r="E1275" s="16"/>
      <c r="F1275" s="17"/>
      <c r="G1275" s="17"/>
      <c r="H1275" s="17"/>
      <c r="I1275" s="17"/>
      <c r="J1275" s="17"/>
      <c r="K1275" s="17"/>
      <c r="L1275" s="17"/>
    </row>
    <row r="1276">
      <c r="A1276" s="11" t="str">
        <f t="shared" si="1"/>
        <v/>
      </c>
      <c r="B1276" s="16"/>
      <c r="C1276" s="16"/>
      <c r="D1276" s="16"/>
      <c r="E1276" s="16"/>
      <c r="F1276" s="17"/>
      <c r="G1276" s="17"/>
      <c r="H1276" s="17"/>
      <c r="I1276" s="17"/>
      <c r="J1276" s="17"/>
      <c r="K1276" s="17"/>
      <c r="L1276" s="17"/>
    </row>
    <row r="1277">
      <c r="A1277" s="11" t="str">
        <f t="shared" si="1"/>
        <v/>
      </c>
      <c r="B1277" s="16"/>
      <c r="C1277" s="16"/>
      <c r="D1277" s="16"/>
      <c r="E1277" s="16"/>
      <c r="F1277" s="17"/>
      <c r="G1277" s="17"/>
      <c r="H1277" s="17"/>
      <c r="I1277" s="17"/>
      <c r="J1277" s="17"/>
      <c r="K1277" s="17"/>
      <c r="L1277" s="17"/>
    </row>
    <row r="1278">
      <c r="A1278" s="11" t="str">
        <f t="shared" si="1"/>
        <v/>
      </c>
      <c r="B1278" s="16"/>
      <c r="C1278" s="16"/>
      <c r="D1278" s="16"/>
      <c r="E1278" s="16"/>
      <c r="F1278" s="17"/>
      <c r="G1278" s="17"/>
      <c r="H1278" s="17"/>
      <c r="I1278" s="17"/>
      <c r="J1278" s="17"/>
      <c r="K1278" s="17"/>
      <c r="L1278" s="17"/>
    </row>
    <row r="1279">
      <c r="A1279" s="11" t="str">
        <f t="shared" si="1"/>
        <v/>
      </c>
      <c r="B1279" s="16"/>
      <c r="C1279" s="16"/>
      <c r="D1279" s="16"/>
      <c r="E1279" s="16"/>
      <c r="F1279" s="17"/>
      <c r="G1279" s="17"/>
      <c r="H1279" s="17"/>
      <c r="I1279" s="17"/>
      <c r="J1279" s="17"/>
      <c r="K1279" s="17"/>
      <c r="L1279" s="17"/>
    </row>
    <row r="1280">
      <c r="A1280" s="11" t="str">
        <f t="shared" si="1"/>
        <v/>
      </c>
      <c r="B1280" s="16"/>
      <c r="C1280" s="16"/>
      <c r="D1280" s="16"/>
      <c r="E1280" s="16"/>
      <c r="F1280" s="17"/>
      <c r="G1280" s="17"/>
      <c r="H1280" s="17"/>
      <c r="I1280" s="17"/>
      <c r="J1280" s="17"/>
      <c r="K1280" s="17"/>
      <c r="L1280" s="17"/>
    </row>
    <row r="1281">
      <c r="A1281" s="11" t="str">
        <f t="shared" si="1"/>
        <v/>
      </c>
      <c r="B1281" s="16"/>
      <c r="C1281" s="16"/>
      <c r="D1281" s="16"/>
      <c r="E1281" s="16"/>
      <c r="F1281" s="17"/>
      <c r="G1281" s="17"/>
      <c r="H1281" s="17"/>
      <c r="I1281" s="17"/>
      <c r="J1281" s="17"/>
      <c r="K1281" s="17"/>
      <c r="L1281" s="17"/>
    </row>
    <row r="1282">
      <c r="A1282" s="11" t="str">
        <f t="shared" si="1"/>
        <v/>
      </c>
      <c r="B1282" s="16"/>
      <c r="C1282" s="16"/>
      <c r="D1282" s="16"/>
      <c r="E1282" s="16"/>
      <c r="F1282" s="17"/>
      <c r="G1282" s="17"/>
      <c r="H1282" s="17"/>
      <c r="I1282" s="17"/>
      <c r="J1282" s="17"/>
      <c r="K1282" s="17"/>
      <c r="L1282" s="17"/>
    </row>
    <row r="1283">
      <c r="A1283" s="11" t="str">
        <f t="shared" si="1"/>
        <v/>
      </c>
      <c r="B1283" s="16"/>
      <c r="C1283" s="16"/>
      <c r="D1283" s="16"/>
      <c r="E1283" s="16"/>
      <c r="F1283" s="17"/>
      <c r="G1283" s="17"/>
      <c r="H1283" s="17"/>
      <c r="I1283" s="17"/>
      <c r="J1283" s="17"/>
      <c r="K1283" s="17"/>
      <c r="L1283" s="17"/>
    </row>
    <row r="1284">
      <c r="A1284" s="11" t="str">
        <f t="shared" si="1"/>
        <v/>
      </c>
      <c r="B1284" s="16"/>
      <c r="C1284" s="16"/>
      <c r="D1284" s="16"/>
      <c r="E1284" s="16"/>
      <c r="F1284" s="17"/>
      <c r="G1284" s="17"/>
      <c r="H1284" s="17"/>
      <c r="I1284" s="17"/>
      <c r="J1284" s="17"/>
      <c r="K1284" s="17"/>
      <c r="L1284" s="17"/>
    </row>
    <row r="1285">
      <c r="A1285" s="11" t="str">
        <f t="shared" si="1"/>
        <v/>
      </c>
      <c r="B1285" s="16"/>
      <c r="C1285" s="16"/>
      <c r="D1285" s="16"/>
      <c r="E1285" s="16"/>
      <c r="F1285" s="17"/>
      <c r="G1285" s="17"/>
      <c r="H1285" s="17"/>
      <c r="I1285" s="17"/>
      <c r="J1285" s="17"/>
      <c r="K1285" s="17"/>
      <c r="L1285" s="17"/>
    </row>
    <row r="1286">
      <c r="A1286" s="11" t="str">
        <f t="shared" si="1"/>
        <v/>
      </c>
      <c r="B1286" s="16"/>
      <c r="C1286" s="16"/>
      <c r="D1286" s="16"/>
      <c r="E1286" s="16"/>
      <c r="F1286" s="17"/>
      <c r="G1286" s="17"/>
      <c r="H1286" s="17"/>
      <c r="I1286" s="17"/>
      <c r="J1286" s="17"/>
      <c r="K1286" s="17"/>
      <c r="L1286" s="17"/>
    </row>
    <row r="1287">
      <c r="A1287" s="11" t="str">
        <f t="shared" si="1"/>
        <v/>
      </c>
      <c r="B1287" s="16"/>
      <c r="C1287" s="16"/>
      <c r="D1287" s="16"/>
      <c r="E1287" s="16"/>
      <c r="F1287" s="17"/>
      <c r="G1287" s="17"/>
      <c r="H1287" s="17"/>
      <c r="I1287" s="17"/>
      <c r="J1287" s="17"/>
      <c r="K1287" s="17"/>
      <c r="L1287" s="17"/>
    </row>
    <row r="1288">
      <c r="A1288" s="11" t="str">
        <f t="shared" si="1"/>
        <v/>
      </c>
      <c r="B1288" s="16"/>
      <c r="C1288" s="16"/>
      <c r="D1288" s="16"/>
      <c r="E1288" s="16"/>
      <c r="F1288" s="17"/>
      <c r="G1288" s="17"/>
      <c r="H1288" s="17"/>
      <c r="I1288" s="17"/>
      <c r="J1288" s="17"/>
      <c r="K1288" s="17"/>
      <c r="L1288" s="17"/>
    </row>
    <row r="1289">
      <c r="A1289" s="11" t="str">
        <f t="shared" si="1"/>
        <v/>
      </c>
      <c r="B1289" s="16"/>
      <c r="C1289" s="16"/>
      <c r="D1289" s="16"/>
      <c r="E1289" s="16"/>
      <c r="F1289" s="17"/>
      <c r="G1289" s="17"/>
      <c r="H1289" s="17"/>
      <c r="I1289" s="17"/>
      <c r="J1289" s="17"/>
      <c r="K1289" s="17"/>
      <c r="L1289" s="17"/>
    </row>
    <row r="1290">
      <c r="A1290" s="11" t="str">
        <f t="shared" si="1"/>
        <v/>
      </c>
      <c r="B1290" s="16"/>
      <c r="C1290" s="16"/>
      <c r="D1290" s="16"/>
      <c r="E1290" s="16"/>
      <c r="F1290" s="17"/>
      <c r="G1290" s="17"/>
      <c r="H1290" s="17"/>
      <c r="I1290" s="17"/>
      <c r="J1290" s="17"/>
      <c r="K1290" s="17"/>
      <c r="L1290" s="17"/>
    </row>
    <row r="1291">
      <c r="A1291" s="11" t="str">
        <f t="shared" si="1"/>
        <v/>
      </c>
      <c r="B1291" s="16"/>
      <c r="C1291" s="16"/>
      <c r="D1291" s="16"/>
      <c r="E1291" s="16"/>
      <c r="F1291" s="17"/>
      <c r="G1291" s="17"/>
      <c r="H1291" s="17"/>
      <c r="I1291" s="17"/>
      <c r="J1291" s="17"/>
      <c r="K1291" s="17"/>
      <c r="L1291" s="17"/>
    </row>
    <row r="1292">
      <c r="A1292" s="11" t="str">
        <f t="shared" si="1"/>
        <v/>
      </c>
      <c r="B1292" s="16"/>
      <c r="C1292" s="16"/>
      <c r="D1292" s="16"/>
      <c r="E1292" s="16"/>
      <c r="F1292" s="17"/>
      <c r="G1292" s="17"/>
      <c r="H1292" s="17"/>
      <c r="I1292" s="17"/>
      <c r="J1292" s="17"/>
      <c r="K1292" s="17"/>
      <c r="L1292" s="17"/>
    </row>
    <row r="1293">
      <c r="A1293" s="11" t="str">
        <f t="shared" si="1"/>
        <v/>
      </c>
      <c r="B1293" s="16"/>
      <c r="C1293" s="16"/>
      <c r="D1293" s="16"/>
      <c r="E1293" s="16"/>
      <c r="F1293" s="17"/>
      <c r="G1293" s="17"/>
      <c r="H1293" s="17"/>
      <c r="I1293" s="17"/>
      <c r="J1293" s="17"/>
      <c r="K1293" s="17"/>
      <c r="L1293" s="17"/>
    </row>
    <row r="1294">
      <c r="A1294" s="11" t="str">
        <f t="shared" si="1"/>
        <v/>
      </c>
      <c r="B1294" s="16"/>
      <c r="C1294" s="16"/>
      <c r="D1294" s="16"/>
      <c r="E1294" s="16"/>
      <c r="F1294" s="17"/>
      <c r="G1294" s="17"/>
      <c r="H1294" s="17"/>
      <c r="I1294" s="17"/>
      <c r="J1294" s="17"/>
      <c r="K1294" s="17"/>
      <c r="L1294" s="17"/>
    </row>
    <row r="1295">
      <c r="A1295" s="11" t="str">
        <f t="shared" si="1"/>
        <v/>
      </c>
      <c r="B1295" s="16"/>
      <c r="C1295" s="16"/>
      <c r="D1295" s="16"/>
      <c r="E1295" s="16"/>
      <c r="F1295" s="17"/>
      <c r="G1295" s="17"/>
      <c r="H1295" s="17"/>
      <c r="I1295" s="17"/>
      <c r="J1295" s="17"/>
      <c r="K1295" s="17"/>
      <c r="L1295" s="17"/>
    </row>
    <row r="1296">
      <c r="A1296" s="11" t="str">
        <f t="shared" si="1"/>
        <v/>
      </c>
      <c r="B1296" s="16"/>
      <c r="C1296" s="16"/>
      <c r="D1296" s="16"/>
      <c r="E1296" s="16"/>
      <c r="F1296" s="17"/>
      <c r="G1296" s="17"/>
      <c r="H1296" s="17"/>
      <c r="I1296" s="17"/>
      <c r="J1296" s="17"/>
      <c r="K1296" s="17"/>
      <c r="L1296" s="17"/>
    </row>
    <row r="1297">
      <c r="A1297" s="11" t="str">
        <f t="shared" si="1"/>
        <v/>
      </c>
      <c r="B1297" s="16"/>
      <c r="C1297" s="16"/>
      <c r="D1297" s="16"/>
      <c r="E1297" s="16"/>
      <c r="F1297" s="17"/>
      <c r="G1297" s="17"/>
      <c r="H1297" s="17"/>
      <c r="I1297" s="17"/>
      <c r="J1297" s="17"/>
      <c r="K1297" s="17"/>
      <c r="L1297" s="17"/>
    </row>
    <row r="1298">
      <c r="A1298" s="11" t="str">
        <f t="shared" si="1"/>
        <v/>
      </c>
      <c r="B1298" s="16"/>
      <c r="C1298" s="16"/>
      <c r="D1298" s="16"/>
      <c r="E1298" s="16"/>
      <c r="F1298" s="17"/>
      <c r="G1298" s="17"/>
      <c r="H1298" s="17"/>
      <c r="I1298" s="17"/>
      <c r="J1298" s="17"/>
      <c r="K1298" s="17"/>
      <c r="L1298" s="17"/>
    </row>
    <row r="1299">
      <c r="A1299" s="11" t="str">
        <f t="shared" si="1"/>
        <v/>
      </c>
      <c r="B1299" s="16"/>
      <c r="C1299" s="16"/>
      <c r="D1299" s="16"/>
      <c r="E1299" s="16"/>
      <c r="F1299" s="17"/>
      <c r="G1299" s="17"/>
      <c r="H1299" s="17"/>
      <c r="I1299" s="17"/>
      <c r="J1299" s="17"/>
      <c r="K1299" s="17"/>
      <c r="L1299" s="17"/>
    </row>
    <row r="1300">
      <c r="A1300" s="11" t="str">
        <f t="shared" si="1"/>
        <v/>
      </c>
      <c r="B1300" s="16"/>
      <c r="C1300" s="16"/>
      <c r="D1300" s="16"/>
      <c r="E1300" s="16"/>
      <c r="F1300" s="17"/>
      <c r="G1300" s="17"/>
      <c r="H1300" s="17"/>
      <c r="I1300" s="17"/>
      <c r="J1300" s="17"/>
      <c r="K1300" s="17"/>
      <c r="L1300" s="17"/>
    </row>
    <row r="1301">
      <c r="A1301" s="11" t="str">
        <f t="shared" si="1"/>
        <v/>
      </c>
      <c r="B1301" s="16"/>
      <c r="C1301" s="16"/>
      <c r="D1301" s="16"/>
      <c r="E1301" s="16"/>
      <c r="F1301" s="17"/>
      <c r="G1301" s="17"/>
      <c r="H1301" s="17"/>
      <c r="I1301" s="17"/>
      <c r="J1301" s="17"/>
      <c r="K1301" s="17"/>
      <c r="L1301" s="17"/>
    </row>
    <row r="1302">
      <c r="A1302" s="11" t="str">
        <f t="shared" si="1"/>
        <v/>
      </c>
      <c r="B1302" s="16"/>
      <c r="C1302" s="16"/>
      <c r="D1302" s="16"/>
      <c r="E1302" s="16"/>
      <c r="F1302" s="17"/>
      <c r="G1302" s="17"/>
      <c r="H1302" s="17"/>
      <c r="I1302" s="17"/>
      <c r="J1302" s="17"/>
      <c r="K1302" s="17"/>
      <c r="L1302" s="17"/>
    </row>
    <row r="1303">
      <c r="A1303" s="11" t="str">
        <f t="shared" si="1"/>
        <v/>
      </c>
      <c r="B1303" s="16"/>
      <c r="C1303" s="16"/>
      <c r="D1303" s="16"/>
      <c r="E1303" s="16"/>
      <c r="F1303" s="17"/>
      <c r="G1303" s="17"/>
      <c r="H1303" s="17"/>
      <c r="I1303" s="17"/>
      <c r="J1303" s="17"/>
      <c r="K1303" s="17"/>
      <c r="L1303" s="17"/>
    </row>
    <row r="1304">
      <c r="A1304" s="11" t="str">
        <f t="shared" si="1"/>
        <v/>
      </c>
      <c r="B1304" s="16"/>
      <c r="C1304" s="16"/>
      <c r="D1304" s="16"/>
      <c r="E1304" s="16"/>
      <c r="F1304" s="17"/>
      <c r="G1304" s="17"/>
      <c r="H1304" s="17"/>
      <c r="I1304" s="17"/>
      <c r="J1304" s="17"/>
      <c r="K1304" s="17"/>
      <c r="L1304" s="17"/>
    </row>
    <row r="1305">
      <c r="A1305" s="11" t="str">
        <f t="shared" si="1"/>
        <v/>
      </c>
      <c r="B1305" s="16"/>
      <c r="C1305" s="16"/>
      <c r="D1305" s="16"/>
      <c r="E1305" s="16"/>
      <c r="F1305" s="17"/>
      <c r="G1305" s="17"/>
      <c r="H1305" s="17"/>
      <c r="I1305" s="17"/>
      <c r="J1305" s="17"/>
      <c r="K1305" s="17"/>
      <c r="L1305" s="17"/>
    </row>
    <row r="1306">
      <c r="A1306" s="11" t="str">
        <f t="shared" si="1"/>
        <v/>
      </c>
      <c r="B1306" s="16"/>
      <c r="C1306" s="16"/>
      <c r="D1306" s="16"/>
      <c r="E1306" s="16"/>
      <c r="F1306" s="17"/>
      <c r="G1306" s="17"/>
      <c r="H1306" s="17"/>
      <c r="I1306" s="17"/>
      <c r="J1306" s="17"/>
      <c r="K1306" s="17"/>
      <c r="L1306" s="17"/>
    </row>
    <row r="1307">
      <c r="A1307" s="11" t="str">
        <f t="shared" si="1"/>
        <v/>
      </c>
      <c r="B1307" s="16"/>
      <c r="C1307" s="16"/>
      <c r="D1307" s="16"/>
      <c r="E1307" s="16"/>
      <c r="F1307" s="17"/>
      <c r="G1307" s="17"/>
      <c r="H1307" s="17"/>
      <c r="I1307" s="17"/>
      <c r="J1307" s="17"/>
      <c r="K1307" s="17"/>
      <c r="L1307" s="17"/>
    </row>
    <row r="1308">
      <c r="A1308" s="11" t="str">
        <f t="shared" si="1"/>
        <v/>
      </c>
      <c r="B1308" s="16"/>
      <c r="C1308" s="16"/>
      <c r="D1308" s="16"/>
      <c r="E1308" s="16"/>
      <c r="F1308" s="17"/>
      <c r="G1308" s="17"/>
      <c r="H1308" s="17"/>
      <c r="I1308" s="17"/>
      <c r="J1308" s="17"/>
      <c r="K1308" s="17"/>
      <c r="L1308" s="17"/>
    </row>
    <row r="1309">
      <c r="A1309" s="11" t="str">
        <f t="shared" si="1"/>
        <v/>
      </c>
      <c r="B1309" s="16"/>
      <c r="C1309" s="16"/>
      <c r="D1309" s="16"/>
      <c r="E1309" s="16"/>
      <c r="F1309" s="17"/>
      <c r="G1309" s="17"/>
      <c r="H1309" s="17"/>
      <c r="I1309" s="17"/>
      <c r="J1309" s="17"/>
      <c r="K1309" s="17"/>
      <c r="L1309" s="17"/>
    </row>
    <row r="1310">
      <c r="A1310" s="11" t="str">
        <f t="shared" si="1"/>
        <v/>
      </c>
      <c r="B1310" s="16"/>
      <c r="C1310" s="16"/>
      <c r="D1310" s="16"/>
      <c r="E1310" s="16"/>
      <c r="F1310" s="17"/>
      <c r="G1310" s="17"/>
      <c r="H1310" s="17"/>
      <c r="I1310" s="17"/>
      <c r="J1310" s="17"/>
      <c r="K1310" s="17"/>
      <c r="L1310" s="17"/>
    </row>
    <row r="1311">
      <c r="A1311" s="11" t="str">
        <f t="shared" si="1"/>
        <v/>
      </c>
      <c r="B1311" s="16"/>
      <c r="C1311" s="16"/>
      <c r="D1311" s="16"/>
      <c r="E1311" s="16"/>
      <c r="F1311" s="17"/>
      <c r="G1311" s="17"/>
      <c r="H1311" s="17"/>
      <c r="I1311" s="17"/>
      <c r="J1311" s="17"/>
      <c r="K1311" s="17"/>
      <c r="L1311" s="17"/>
    </row>
    <row r="1312">
      <c r="A1312" s="11" t="str">
        <f t="shared" si="1"/>
        <v/>
      </c>
      <c r="B1312" s="16"/>
      <c r="C1312" s="16"/>
      <c r="D1312" s="16"/>
      <c r="E1312" s="16"/>
      <c r="F1312" s="17"/>
      <c r="G1312" s="17"/>
      <c r="H1312" s="17"/>
      <c r="I1312" s="17"/>
      <c r="J1312" s="17"/>
      <c r="K1312" s="17"/>
      <c r="L1312" s="17"/>
    </row>
    <row r="1313">
      <c r="A1313" s="11" t="str">
        <f t="shared" si="1"/>
        <v/>
      </c>
      <c r="B1313" s="16"/>
      <c r="C1313" s="16"/>
      <c r="D1313" s="16"/>
      <c r="E1313" s="16"/>
      <c r="F1313" s="17"/>
      <c r="G1313" s="17"/>
      <c r="H1313" s="17"/>
      <c r="I1313" s="17"/>
      <c r="J1313" s="17"/>
      <c r="K1313" s="17"/>
      <c r="L1313" s="17"/>
    </row>
    <row r="1314">
      <c r="A1314" s="11" t="str">
        <f t="shared" si="1"/>
        <v/>
      </c>
      <c r="B1314" s="16"/>
      <c r="C1314" s="16"/>
      <c r="D1314" s="16"/>
      <c r="E1314" s="16"/>
      <c r="F1314" s="17"/>
      <c r="G1314" s="17"/>
      <c r="H1314" s="17"/>
      <c r="I1314" s="17"/>
      <c r="J1314" s="17"/>
      <c r="K1314" s="17"/>
      <c r="L1314" s="17"/>
    </row>
    <row r="1315">
      <c r="A1315" s="11" t="str">
        <f t="shared" si="1"/>
        <v/>
      </c>
      <c r="B1315" s="16"/>
      <c r="C1315" s="16"/>
      <c r="D1315" s="16"/>
      <c r="E1315" s="16"/>
      <c r="F1315" s="17"/>
      <c r="G1315" s="17"/>
      <c r="H1315" s="17"/>
      <c r="I1315" s="17"/>
      <c r="J1315" s="17"/>
      <c r="K1315" s="17"/>
      <c r="L1315" s="17"/>
    </row>
    <row r="1316">
      <c r="A1316" s="11" t="str">
        <f t="shared" si="1"/>
        <v/>
      </c>
      <c r="B1316" s="16"/>
      <c r="C1316" s="16"/>
      <c r="D1316" s="16"/>
      <c r="E1316" s="16"/>
      <c r="F1316" s="17"/>
      <c r="G1316" s="17"/>
      <c r="H1316" s="17"/>
      <c r="I1316" s="17"/>
      <c r="J1316" s="17"/>
      <c r="K1316" s="17"/>
      <c r="L1316" s="17"/>
    </row>
    <row r="1317">
      <c r="A1317" s="11" t="str">
        <f t="shared" si="1"/>
        <v/>
      </c>
      <c r="B1317" s="16"/>
      <c r="C1317" s="16"/>
      <c r="D1317" s="16"/>
      <c r="E1317" s="16"/>
      <c r="F1317" s="17"/>
      <c r="G1317" s="17"/>
      <c r="H1317" s="17"/>
      <c r="I1317" s="17"/>
      <c r="J1317" s="17"/>
      <c r="K1317" s="17"/>
      <c r="L1317" s="17"/>
    </row>
    <row r="1318">
      <c r="A1318" s="11" t="str">
        <f t="shared" si="1"/>
        <v/>
      </c>
      <c r="B1318" s="16"/>
      <c r="C1318" s="16"/>
      <c r="D1318" s="16"/>
      <c r="E1318" s="16"/>
      <c r="F1318" s="17"/>
      <c r="G1318" s="17"/>
      <c r="H1318" s="17"/>
      <c r="I1318" s="17"/>
      <c r="J1318" s="17"/>
      <c r="K1318" s="17"/>
      <c r="L1318" s="17"/>
    </row>
    <row r="1319">
      <c r="A1319" s="11" t="str">
        <f t="shared" si="1"/>
        <v/>
      </c>
      <c r="B1319" s="16"/>
      <c r="C1319" s="16"/>
      <c r="D1319" s="16"/>
      <c r="E1319" s="16"/>
      <c r="F1319" s="17"/>
      <c r="G1319" s="17"/>
      <c r="H1319" s="17"/>
      <c r="I1319" s="17"/>
      <c r="J1319" s="17"/>
      <c r="K1319" s="17"/>
      <c r="L1319" s="17"/>
    </row>
    <row r="1320">
      <c r="A1320" s="11" t="str">
        <f t="shared" si="1"/>
        <v/>
      </c>
      <c r="B1320" s="16"/>
      <c r="C1320" s="16"/>
      <c r="D1320" s="16"/>
      <c r="E1320" s="16"/>
      <c r="F1320" s="17"/>
      <c r="G1320" s="17"/>
      <c r="H1320" s="17"/>
      <c r="I1320" s="17"/>
      <c r="J1320" s="17"/>
      <c r="K1320" s="17"/>
      <c r="L1320" s="17"/>
    </row>
    <row r="1321">
      <c r="A1321" s="11" t="str">
        <f t="shared" si="1"/>
        <v/>
      </c>
      <c r="B1321" s="16"/>
      <c r="C1321" s="16"/>
      <c r="D1321" s="16"/>
      <c r="E1321" s="16"/>
      <c r="F1321" s="17"/>
      <c r="G1321" s="17"/>
      <c r="H1321" s="17"/>
      <c r="I1321" s="17"/>
      <c r="J1321" s="17"/>
      <c r="K1321" s="17"/>
      <c r="L1321" s="17"/>
    </row>
    <row r="1322">
      <c r="A1322" s="11" t="str">
        <f t="shared" si="1"/>
        <v/>
      </c>
      <c r="B1322" s="16"/>
      <c r="C1322" s="16"/>
      <c r="D1322" s="16"/>
      <c r="E1322" s="16"/>
      <c r="F1322" s="17"/>
      <c r="G1322" s="17"/>
      <c r="H1322" s="17"/>
      <c r="I1322" s="17"/>
      <c r="J1322" s="17"/>
      <c r="K1322" s="17"/>
      <c r="L1322" s="17"/>
    </row>
    <row r="1323">
      <c r="A1323" s="11" t="str">
        <f t="shared" si="1"/>
        <v/>
      </c>
      <c r="B1323" s="16"/>
      <c r="C1323" s="16"/>
      <c r="D1323" s="16"/>
      <c r="E1323" s="16"/>
      <c r="F1323" s="17"/>
      <c r="G1323" s="17"/>
      <c r="H1323" s="17"/>
      <c r="I1323" s="17"/>
      <c r="J1323" s="17"/>
      <c r="K1323" s="17"/>
      <c r="L1323" s="17"/>
    </row>
    <row r="1324">
      <c r="A1324" s="11" t="str">
        <f t="shared" si="1"/>
        <v/>
      </c>
      <c r="B1324" s="16"/>
      <c r="C1324" s="16"/>
      <c r="D1324" s="16"/>
      <c r="E1324" s="16"/>
      <c r="F1324" s="17"/>
      <c r="G1324" s="17"/>
      <c r="H1324" s="17"/>
      <c r="I1324" s="17"/>
      <c r="J1324" s="17"/>
      <c r="K1324" s="17"/>
      <c r="L1324" s="17"/>
    </row>
    <row r="1325">
      <c r="A1325" s="11" t="str">
        <f t="shared" si="1"/>
        <v/>
      </c>
      <c r="B1325" s="16"/>
      <c r="C1325" s="16"/>
      <c r="D1325" s="16"/>
      <c r="E1325" s="16"/>
      <c r="F1325" s="17"/>
      <c r="G1325" s="17"/>
      <c r="H1325" s="17"/>
      <c r="I1325" s="17"/>
      <c r="J1325" s="17"/>
      <c r="K1325" s="17"/>
      <c r="L1325" s="17"/>
    </row>
    <row r="1326">
      <c r="A1326" s="11" t="str">
        <f t="shared" si="1"/>
        <v/>
      </c>
      <c r="B1326" s="16"/>
      <c r="C1326" s="16"/>
      <c r="D1326" s="16"/>
      <c r="E1326" s="16"/>
      <c r="F1326" s="17"/>
      <c r="G1326" s="17"/>
      <c r="H1326" s="17"/>
      <c r="I1326" s="17"/>
      <c r="J1326" s="17"/>
      <c r="K1326" s="17"/>
      <c r="L1326" s="17"/>
    </row>
    <row r="1327">
      <c r="A1327" s="11" t="str">
        <f t="shared" si="1"/>
        <v/>
      </c>
      <c r="B1327" s="16"/>
      <c r="C1327" s="16"/>
      <c r="D1327" s="16"/>
      <c r="E1327" s="16"/>
      <c r="F1327" s="17"/>
      <c r="G1327" s="17"/>
      <c r="H1327" s="17"/>
      <c r="I1327" s="17"/>
      <c r="J1327" s="17"/>
      <c r="K1327" s="17"/>
      <c r="L1327" s="17"/>
    </row>
    <row r="1328">
      <c r="A1328" s="11" t="str">
        <f t="shared" si="1"/>
        <v/>
      </c>
      <c r="B1328" s="16"/>
      <c r="C1328" s="16"/>
      <c r="D1328" s="16"/>
      <c r="E1328" s="16"/>
      <c r="F1328" s="17"/>
      <c r="G1328" s="17"/>
      <c r="H1328" s="17"/>
      <c r="I1328" s="17"/>
      <c r="J1328" s="17"/>
      <c r="K1328" s="17"/>
      <c r="L1328" s="17"/>
    </row>
    <row r="1329">
      <c r="A1329" s="11" t="str">
        <f t="shared" si="1"/>
        <v/>
      </c>
      <c r="B1329" s="16"/>
      <c r="C1329" s="16"/>
      <c r="D1329" s="16"/>
      <c r="E1329" s="16"/>
      <c r="F1329" s="17"/>
      <c r="G1329" s="17"/>
      <c r="H1329" s="17"/>
      <c r="I1329" s="17"/>
      <c r="J1329" s="17"/>
      <c r="K1329" s="17"/>
      <c r="L1329" s="17"/>
    </row>
    <row r="1330">
      <c r="A1330" s="11" t="str">
        <f t="shared" si="1"/>
        <v/>
      </c>
      <c r="B1330" s="16"/>
      <c r="C1330" s="16"/>
      <c r="D1330" s="16"/>
      <c r="E1330" s="16"/>
      <c r="F1330" s="17"/>
      <c r="G1330" s="17"/>
      <c r="H1330" s="17"/>
      <c r="I1330" s="17"/>
      <c r="J1330" s="17"/>
      <c r="K1330" s="17"/>
      <c r="L1330" s="17"/>
    </row>
    <row r="1331">
      <c r="A1331" s="11" t="str">
        <f t="shared" si="1"/>
        <v/>
      </c>
      <c r="B1331" s="16"/>
      <c r="C1331" s="16"/>
      <c r="D1331" s="16"/>
      <c r="E1331" s="16"/>
      <c r="F1331" s="17"/>
      <c r="G1331" s="17"/>
      <c r="H1331" s="17"/>
      <c r="I1331" s="17"/>
      <c r="J1331" s="17"/>
      <c r="K1331" s="17"/>
      <c r="L1331" s="17"/>
    </row>
    <row r="1332">
      <c r="A1332" s="11" t="str">
        <f t="shared" si="1"/>
        <v/>
      </c>
      <c r="B1332" s="16"/>
      <c r="C1332" s="16"/>
      <c r="D1332" s="16"/>
      <c r="E1332" s="16"/>
      <c r="F1332" s="17"/>
      <c r="G1332" s="17"/>
      <c r="H1332" s="17"/>
      <c r="I1332" s="17"/>
      <c r="J1332" s="17"/>
      <c r="K1332" s="17"/>
      <c r="L1332" s="17"/>
    </row>
    <row r="1333">
      <c r="A1333" s="11" t="str">
        <f t="shared" si="1"/>
        <v/>
      </c>
      <c r="B1333" s="16"/>
      <c r="C1333" s="16"/>
      <c r="D1333" s="16"/>
      <c r="E1333" s="16"/>
      <c r="F1333" s="17"/>
      <c r="G1333" s="17"/>
      <c r="H1333" s="17"/>
      <c r="I1333" s="17"/>
      <c r="J1333" s="17"/>
      <c r="K1333" s="17"/>
      <c r="L1333" s="17"/>
    </row>
    <row r="1334">
      <c r="A1334" s="11" t="str">
        <f t="shared" si="1"/>
        <v/>
      </c>
      <c r="B1334" s="16"/>
      <c r="C1334" s="16"/>
      <c r="D1334" s="16"/>
      <c r="E1334" s="16"/>
      <c r="F1334" s="17"/>
      <c r="G1334" s="17"/>
      <c r="H1334" s="17"/>
      <c r="I1334" s="17"/>
      <c r="J1334" s="17"/>
      <c r="K1334" s="17"/>
      <c r="L1334" s="17"/>
    </row>
    <row r="1335">
      <c r="A1335" s="11" t="str">
        <f t="shared" si="1"/>
        <v/>
      </c>
      <c r="B1335" s="16"/>
      <c r="C1335" s="16"/>
      <c r="D1335" s="16"/>
      <c r="E1335" s="16"/>
      <c r="F1335" s="17"/>
      <c r="G1335" s="17"/>
      <c r="H1335" s="17"/>
      <c r="I1335" s="17"/>
      <c r="J1335" s="17"/>
      <c r="K1335" s="17"/>
      <c r="L1335" s="17"/>
    </row>
    <row r="1336">
      <c r="A1336" s="11" t="str">
        <f t="shared" si="1"/>
        <v/>
      </c>
      <c r="B1336" s="16"/>
      <c r="C1336" s="16"/>
      <c r="D1336" s="16"/>
      <c r="E1336" s="16"/>
      <c r="F1336" s="17"/>
      <c r="G1336" s="17"/>
      <c r="H1336" s="17"/>
      <c r="I1336" s="17"/>
      <c r="J1336" s="17"/>
      <c r="K1336" s="17"/>
      <c r="L1336" s="17"/>
    </row>
    <row r="1337">
      <c r="A1337" s="11" t="str">
        <f t="shared" si="1"/>
        <v/>
      </c>
      <c r="B1337" s="16"/>
      <c r="C1337" s="16"/>
      <c r="D1337" s="16"/>
      <c r="E1337" s="16"/>
      <c r="F1337" s="17"/>
      <c r="G1337" s="17"/>
      <c r="H1337" s="17"/>
      <c r="I1337" s="17"/>
      <c r="J1337" s="17"/>
      <c r="K1337" s="17"/>
      <c r="L1337" s="17"/>
    </row>
    <row r="1338">
      <c r="A1338" s="11" t="str">
        <f t="shared" si="1"/>
        <v/>
      </c>
      <c r="B1338" s="16"/>
      <c r="C1338" s="16"/>
      <c r="D1338" s="16"/>
      <c r="E1338" s="16"/>
      <c r="F1338" s="17"/>
      <c r="G1338" s="17"/>
      <c r="H1338" s="17"/>
      <c r="I1338" s="17"/>
      <c r="J1338" s="17"/>
      <c r="K1338" s="17"/>
      <c r="L1338" s="17"/>
    </row>
    <row r="1339">
      <c r="A1339" s="11" t="str">
        <f t="shared" si="1"/>
        <v/>
      </c>
      <c r="B1339" s="16"/>
      <c r="C1339" s="16"/>
      <c r="D1339" s="16"/>
      <c r="E1339" s="16"/>
      <c r="F1339" s="17"/>
      <c r="G1339" s="17"/>
      <c r="H1339" s="17"/>
      <c r="I1339" s="17"/>
      <c r="J1339" s="17"/>
      <c r="K1339" s="17"/>
      <c r="L1339" s="17"/>
    </row>
    <row r="1340">
      <c r="A1340" s="11" t="str">
        <f t="shared" si="1"/>
        <v/>
      </c>
      <c r="B1340" s="16"/>
      <c r="C1340" s="16"/>
      <c r="D1340" s="16"/>
      <c r="E1340" s="16"/>
      <c r="F1340" s="17"/>
      <c r="G1340" s="17"/>
      <c r="H1340" s="17"/>
      <c r="I1340" s="17"/>
      <c r="J1340" s="17"/>
      <c r="K1340" s="17"/>
      <c r="L1340" s="17"/>
    </row>
    <row r="1341">
      <c r="A1341" s="11" t="str">
        <f t="shared" si="1"/>
        <v/>
      </c>
      <c r="B1341" s="16"/>
      <c r="C1341" s="16"/>
      <c r="D1341" s="16"/>
      <c r="E1341" s="16"/>
      <c r="F1341" s="17"/>
      <c r="G1341" s="17"/>
      <c r="H1341" s="17"/>
      <c r="I1341" s="17"/>
      <c r="J1341" s="17"/>
      <c r="K1341" s="17"/>
      <c r="L1341" s="17"/>
    </row>
    <row r="1342">
      <c r="A1342" s="11" t="str">
        <f t="shared" si="1"/>
        <v/>
      </c>
      <c r="B1342" s="16"/>
      <c r="C1342" s="16"/>
      <c r="D1342" s="16"/>
      <c r="E1342" s="16"/>
      <c r="F1342" s="17"/>
      <c r="G1342" s="17"/>
      <c r="H1342" s="17"/>
      <c r="I1342" s="17"/>
      <c r="J1342" s="17"/>
      <c r="K1342" s="17"/>
      <c r="L1342" s="17"/>
    </row>
    <row r="1343">
      <c r="A1343" s="11" t="str">
        <f t="shared" si="1"/>
        <v/>
      </c>
      <c r="B1343" s="16"/>
      <c r="C1343" s="16"/>
      <c r="D1343" s="16"/>
      <c r="E1343" s="16"/>
      <c r="F1343" s="17"/>
      <c r="G1343" s="17"/>
      <c r="H1343" s="17"/>
      <c r="I1343" s="17"/>
      <c r="J1343" s="17"/>
      <c r="K1343" s="17"/>
      <c r="L1343" s="17"/>
    </row>
    <row r="1344">
      <c r="A1344" s="11" t="str">
        <f t="shared" si="1"/>
        <v/>
      </c>
      <c r="B1344" s="16"/>
      <c r="C1344" s="16"/>
      <c r="D1344" s="16"/>
      <c r="E1344" s="16"/>
      <c r="F1344" s="17"/>
      <c r="G1344" s="17"/>
      <c r="H1344" s="17"/>
      <c r="I1344" s="17"/>
      <c r="J1344" s="17"/>
      <c r="K1344" s="17"/>
      <c r="L1344" s="17"/>
    </row>
    <row r="1345">
      <c r="A1345" s="11" t="str">
        <f t="shared" si="1"/>
        <v/>
      </c>
      <c r="B1345" s="16"/>
      <c r="C1345" s="16"/>
      <c r="D1345" s="16"/>
      <c r="E1345" s="16"/>
      <c r="F1345" s="17"/>
      <c r="G1345" s="17"/>
      <c r="H1345" s="17"/>
      <c r="I1345" s="17"/>
      <c r="J1345" s="17"/>
      <c r="K1345" s="17"/>
      <c r="L1345" s="17"/>
    </row>
    <row r="1346">
      <c r="A1346" s="11" t="str">
        <f t="shared" si="1"/>
        <v/>
      </c>
      <c r="B1346" s="16"/>
      <c r="C1346" s="16"/>
      <c r="D1346" s="16"/>
      <c r="E1346" s="16"/>
      <c r="F1346" s="17"/>
      <c r="G1346" s="17"/>
      <c r="H1346" s="17"/>
      <c r="I1346" s="17"/>
      <c r="J1346" s="17"/>
      <c r="K1346" s="17"/>
      <c r="L1346" s="17"/>
    </row>
    <row r="1347">
      <c r="A1347" s="11" t="str">
        <f t="shared" si="1"/>
        <v/>
      </c>
      <c r="B1347" s="16"/>
      <c r="C1347" s="16"/>
      <c r="D1347" s="16"/>
      <c r="E1347" s="16"/>
      <c r="F1347" s="17"/>
      <c r="G1347" s="17"/>
      <c r="H1347" s="17"/>
      <c r="I1347" s="17"/>
      <c r="J1347" s="17"/>
      <c r="K1347" s="17"/>
      <c r="L1347" s="17"/>
    </row>
    <row r="1348">
      <c r="A1348" s="11" t="str">
        <f t="shared" si="1"/>
        <v/>
      </c>
      <c r="B1348" s="16"/>
      <c r="C1348" s="16"/>
      <c r="D1348" s="16"/>
      <c r="E1348" s="16"/>
      <c r="F1348" s="17"/>
      <c r="G1348" s="17"/>
      <c r="H1348" s="17"/>
      <c r="I1348" s="17"/>
      <c r="J1348" s="17"/>
      <c r="K1348" s="17"/>
      <c r="L1348" s="17"/>
    </row>
    <row r="1349">
      <c r="A1349" s="11" t="str">
        <f t="shared" si="1"/>
        <v/>
      </c>
      <c r="B1349" s="16"/>
      <c r="C1349" s="16"/>
      <c r="D1349" s="16"/>
      <c r="E1349" s="16"/>
      <c r="F1349" s="17"/>
      <c r="G1349" s="17"/>
      <c r="H1349" s="17"/>
      <c r="I1349" s="17"/>
      <c r="J1349" s="17"/>
      <c r="K1349" s="17"/>
      <c r="L1349" s="17"/>
    </row>
    <row r="1350">
      <c r="A1350" s="11" t="str">
        <f t="shared" si="1"/>
        <v/>
      </c>
      <c r="B1350" s="16"/>
      <c r="C1350" s="16"/>
      <c r="D1350" s="16"/>
      <c r="E1350" s="16"/>
      <c r="F1350" s="17"/>
      <c r="G1350" s="17"/>
      <c r="H1350" s="17"/>
      <c r="I1350" s="17"/>
      <c r="J1350" s="17"/>
      <c r="K1350" s="17"/>
      <c r="L1350" s="17"/>
    </row>
    <row r="1351">
      <c r="A1351" s="11" t="str">
        <f t="shared" si="1"/>
        <v/>
      </c>
      <c r="B1351" s="16"/>
      <c r="C1351" s="16"/>
      <c r="D1351" s="16"/>
      <c r="E1351" s="16"/>
      <c r="F1351" s="17"/>
      <c r="G1351" s="17"/>
      <c r="H1351" s="17"/>
      <c r="I1351" s="17"/>
      <c r="J1351" s="17"/>
      <c r="K1351" s="17"/>
      <c r="L1351" s="17"/>
    </row>
    <row r="1352">
      <c r="A1352" s="11" t="str">
        <f t="shared" si="1"/>
        <v/>
      </c>
      <c r="B1352" s="16"/>
      <c r="C1352" s="16"/>
      <c r="D1352" s="16"/>
      <c r="E1352" s="16"/>
      <c r="F1352" s="17"/>
      <c r="G1352" s="17"/>
      <c r="H1352" s="17"/>
      <c r="I1352" s="17"/>
      <c r="J1352" s="17"/>
      <c r="K1352" s="17"/>
      <c r="L1352" s="17"/>
    </row>
    <row r="1353">
      <c r="A1353" s="11" t="str">
        <f t="shared" si="1"/>
        <v/>
      </c>
      <c r="B1353" s="16"/>
      <c r="C1353" s="16"/>
      <c r="D1353" s="16"/>
      <c r="E1353" s="16"/>
      <c r="F1353" s="17"/>
      <c r="G1353" s="17"/>
      <c r="H1353" s="17"/>
      <c r="I1353" s="17"/>
      <c r="J1353" s="17"/>
      <c r="K1353" s="17"/>
      <c r="L1353" s="17"/>
    </row>
    <row r="1354">
      <c r="A1354" s="11" t="str">
        <f t="shared" si="1"/>
        <v/>
      </c>
      <c r="B1354" s="16"/>
      <c r="C1354" s="16"/>
      <c r="D1354" s="16"/>
      <c r="E1354" s="16"/>
      <c r="F1354" s="17"/>
      <c r="G1354" s="17"/>
      <c r="H1354" s="17"/>
      <c r="I1354" s="17"/>
      <c r="J1354" s="17"/>
      <c r="K1354" s="17"/>
      <c r="L1354" s="17"/>
    </row>
    <row r="1355">
      <c r="A1355" s="11" t="str">
        <f t="shared" si="1"/>
        <v/>
      </c>
      <c r="B1355" s="16"/>
      <c r="C1355" s="16"/>
      <c r="D1355" s="16"/>
      <c r="E1355" s="16"/>
      <c r="F1355" s="17"/>
      <c r="G1355" s="17"/>
      <c r="H1355" s="17"/>
      <c r="I1355" s="17"/>
      <c r="J1355" s="17"/>
      <c r="K1355" s="17"/>
      <c r="L1355" s="17"/>
    </row>
    <row r="1356">
      <c r="A1356" s="11" t="str">
        <f t="shared" si="1"/>
        <v/>
      </c>
      <c r="B1356" s="16"/>
      <c r="C1356" s="16"/>
      <c r="D1356" s="16"/>
      <c r="E1356" s="16"/>
      <c r="F1356" s="17"/>
      <c r="G1356" s="17"/>
      <c r="H1356" s="17"/>
      <c r="I1356" s="17"/>
      <c r="J1356" s="17"/>
      <c r="K1356" s="17"/>
      <c r="L1356" s="17"/>
    </row>
    <row r="1357">
      <c r="A1357" s="11" t="str">
        <f t="shared" si="1"/>
        <v/>
      </c>
      <c r="B1357" s="16"/>
      <c r="C1357" s="16"/>
      <c r="D1357" s="16"/>
      <c r="E1357" s="16"/>
      <c r="F1357" s="17"/>
      <c r="G1357" s="17"/>
      <c r="H1357" s="17"/>
      <c r="I1357" s="17"/>
      <c r="J1357" s="17"/>
      <c r="K1357" s="17"/>
      <c r="L1357" s="17"/>
    </row>
    <row r="1358">
      <c r="A1358" s="11" t="str">
        <f t="shared" si="1"/>
        <v/>
      </c>
      <c r="B1358" s="16"/>
      <c r="C1358" s="16"/>
      <c r="D1358" s="16"/>
      <c r="E1358" s="16"/>
      <c r="F1358" s="17"/>
      <c r="G1358" s="17"/>
      <c r="H1358" s="17"/>
      <c r="I1358" s="17"/>
      <c r="J1358" s="17"/>
      <c r="K1358" s="17"/>
      <c r="L1358" s="17"/>
    </row>
    <row r="1359">
      <c r="A1359" s="11" t="str">
        <f t="shared" si="1"/>
        <v/>
      </c>
      <c r="B1359" s="16"/>
      <c r="C1359" s="16"/>
      <c r="D1359" s="16"/>
      <c r="E1359" s="16"/>
      <c r="F1359" s="17"/>
      <c r="G1359" s="17"/>
      <c r="H1359" s="17"/>
      <c r="I1359" s="17"/>
      <c r="J1359" s="17"/>
      <c r="K1359" s="17"/>
      <c r="L1359" s="17"/>
    </row>
    <row r="1360">
      <c r="A1360" s="11" t="str">
        <f t="shared" si="1"/>
        <v/>
      </c>
      <c r="B1360" s="16"/>
      <c r="C1360" s="16"/>
      <c r="D1360" s="16"/>
      <c r="E1360" s="16"/>
      <c r="F1360" s="17"/>
      <c r="G1360" s="17"/>
      <c r="H1360" s="17"/>
      <c r="I1360" s="17"/>
      <c r="J1360" s="17"/>
      <c r="K1360" s="17"/>
      <c r="L1360" s="17"/>
    </row>
    <row r="1361">
      <c r="A1361" s="11" t="str">
        <f t="shared" si="1"/>
        <v/>
      </c>
      <c r="B1361" s="16"/>
      <c r="C1361" s="16"/>
      <c r="D1361" s="16"/>
      <c r="E1361" s="16"/>
      <c r="F1361" s="17"/>
      <c r="G1361" s="17"/>
      <c r="H1361" s="17"/>
      <c r="I1361" s="17"/>
      <c r="J1361" s="17"/>
      <c r="K1361" s="17"/>
      <c r="L1361" s="17"/>
    </row>
    <row r="1362">
      <c r="A1362" s="11" t="str">
        <f t="shared" si="1"/>
        <v/>
      </c>
      <c r="B1362" s="16"/>
      <c r="C1362" s="16"/>
      <c r="D1362" s="16"/>
      <c r="E1362" s="16"/>
      <c r="F1362" s="17"/>
      <c r="G1362" s="17"/>
      <c r="H1362" s="17"/>
      <c r="I1362" s="17"/>
      <c r="J1362" s="17"/>
      <c r="K1362" s="17"/>
      <c r="L1362" s="17"/>
    </row>
    <row r="1363">
      <c r="A1363" s="11" t="str">
        <f t="shared" si="1"/>
        <v/>
      </c>
      <c r="B1363" s="16"/>
      <c r="C1363" s="16"/>
      <c r="D1363" s="16"/>
      <c r="E1363" s="16"/>
      <c r="F1363" s="17"/>
      <c r="G1363" s="17"/>
      <c r="H1363" s="17"/>
      <c r="I1363" s="17"/>
      <c r="J1363" s="17"/>
      <c r="K1363" s="17"/>
      <c r="L1363" s="17"/>
    </row>
    <row r="1364">
      <c r="A1364" s="11" t="str">
        <f t="shared" si="1"/>
        <v/>
      </c>
      <c r="B1364" s="16"/>
      <c r="C1364" s="16"/>
      <c r="D1364" s="16"/>
      <c r="E1364" s="16"/>
      <c r="F1364" s="17"/>
      <c r="G1364" s="17"/>
      <c r="H1364" s="17"/>
      <c r="I1364" s="17"/>
      <c r="J1364" s="17"/>
      <c r="K1364" s="17"/>
      <c r="L1364" s="17"/>
    </row>
    <row r="1365">
      <c r="A1365" s="11" t="str">
        <f t="shared" si="1"/>
        <v/>
      </c>
      <c r="B1365" s="16"/>
      <c r="C1365" s="16"/>
      <c r="D1365" s="16"/>
      <c r="E1365" s="16"/>
      <c r="F1365" s="17"/>
      <c r="G1365" s="17"/>
      <c r="H1365" s="17"/>
      <c r="I1365" s="17"/>
      <c r="J1365" s="17"/>
      <c r="K1365" s="17"/>
      <c r="L1365" s="17"/>
    </row>
    <row r="1366">
      <c r="A1366" s="11" t="str">
        <f t="shared" si="1"/>
        <v/>
      </c>
      <c r="B1366" s="16"/>
      <c r="C1366" s="16"/>
      <c r="D1366" s="16"/>
      <c r="E1366" s="16"/>
      <c r="F1366" s="17"/>
      <c r="G1366" s="17"/>
      <c r="H1366" s="17"/>
      <c r="I1366" s="17"/>
      <c r="J1366" s="17"/>
      <c r="K1366" s="17"/>
      <c r="L1366" s="17"/>
    </row>
    <row r="1367">
      <c r="A1367" s="11" t="str">
        <f t="shared" si="1"/>
        <v/>
      </c>
      <c r="B1367" s="16"/>
      <c r="C1367" s="16"/>
      <c r="D1367" s="16"/>
      <c r="E1367" s="16"/>
      <c r="F1367" s="17"/>
      <c r="G1367" s="17"/>
      <c r="H1367" s="17"/>
      <c r="I1367" s="17"/>
      <c r="J1367" s="17"/>
      <c r="K1367" s="17"/>
      <c r="L1367" s="17"/>
    </row>
    <row r="1368">
      <c r="A1368" s="11" t="str">
        <f t="shared" si="1"/>
        <v/>
      </c>
      <c r="B1368" s="16"/>
      <c r="C1368" s="16"/>
      <c r="D1368" s="16"/>
      <c r="E1368" s="16"/>
      <c r="F1368" s="17"/>
      <c r="G1368" s="17"/>
      <c r="H1368" s="17"/>
      <c r="I1368" s="17"/>
      <c r="J1368" s="17"/>
      <c r="K1368" s="17"/>
      <c r="L1368" s="17"/>
    </row>
    <row r="1369">
      <c r="A1369" s="11" t="str">
        <f t="shared" si="1"/>
        <v/>
      </c>
      <c r="B1369" s="16"/>
      <c r="C1369" s="16"/>
      <c r="D1369" s="16"/>
      <c r="E1369" s="16"/>
      <c r="F1369" s="17"/>
      <c r="G1369" s="17"/>
      <c r="H1369" s="17"/>
      <c r="I1369" s="17"/>
      <c r="J1369" s="17"/>
      <c r="K1369" s="17"/>
      <c r="L1369" s="17"/>
    </row>
    <row r="1370">
      <c r="A1370" s="11" t="str">
        <f t="shared" si="1"/>
        <v/>
      </c>
      <c r="B1370" s="16"/>
      <c r="C1370" s="16"/>
      <c r="D1370" s="16"/>
      <c r="E1370" s="16"/>
      <c r="F1370" s="17"/>
      <c r="G1370" s="17"/>
      <c r="H1370" s="17"/>
      <c r="I1370" s="17"/>
      <c r="J1370" s="17"/>
      <c r="K1370" s="17"/>
      <c r="L1370" s="17"/>
    </row>
    <row r="1371">
      <c r="A1371" s="11" t="str">
        <f t="shared" si="1"/>
        <v/>
      </c>
      <c r="B1371" s="16"/>
      <c r="C1371" s="16"/>
      <c r="D1371" s="16"/>
      <c r="E1371" s="16"/>
      <c r="F1371" s="17"/>
      <c r="G1371" s="17"/>
      <c r="H1371" s="17"/>
      <c r="I1371" s="17"/>
      <c r="J1371" s="17"/>
      <c r="K1371" s="17"/>
      <c r="L1371" s="17"/>
    </row>
    <row r="1372">
      <c r="A1372" s="11" t="str">
        <f t="shared" si="1"/>
        <v/>
      </c>
      <c r="B1372" s="16"/>
      <c r="C1372" s="16"/>
      <c r="D1372" s="16"/>
      <c r="E1372" s="16"/>
      <c r="F1372" s="17"/>
      <c r="G1372" s="17"/>
      <c r="H1372" s="17"/>
      <c r="I1372" s="17"/>
      <c r="J1372" s="17"/>
      <c r="K1372" s="17"/>
      <c r="L1372" s="17"/>
    </row>
    <row r="1373">
      <c r="A1373" s="11" t="str">
        <f t="shared" si="1"/>
        <v/>
      </c>
      <c r="B1373" s="16"/>
      <c r="C1373" s="16"/>
      <c r="D1373" s="16"/>
      <c r="E1373" s="16"/>
      <c r="F1373" s="17"/>
      <c r="G1373" s="17"/>
      <c r="H1373" s="17"/>
      <c r="I1373" s="17"/>
      <c r="J1373" s="17"/>
      <c r="K1373" s="17"/>
      <c r="L1373" s="17"/>
    </row>
    <row r="1374">
      <c r="A1374" s="11" t="str">
        <f t="shared" si="1"/>
        <v/>
      </c>
      <c r="B1374" s="16"/>
      <c r="C1374" s="16"/>
      <c r="D1374" s="16"/>
      <c r="E1374" s="16"/>
      <c r="F1374" s="17"/>
      <c r="G1374" s="17"/>
      <c r="H1374" s="17"/>
      <c r="I1374" s="17"/>
      <c r="J1374" s="17"/>
      <c r="K1374" s="17"/>
      <c r="L1374" s="17"/>
    </row>
    <row r="1375">
      <c r="A1375" s="11" t="str">
        <f t="shared" si="1"/>
        <v/>
      </c>
      <c r="B1375" s="16"/>
      <c r="C1375" s="16"/>
      <c r="D1375" s="16"/>
      <c r="E1375" s="16"/>
      <c r="F1375" s="17"/>
      <c r="G1375" s="17"/>
      <c r="H1375" s="17"/>
      <c r="I1375" s="17"/>
      <c r="J1375" s="17"/>
      <c r="K1375" s="17"/>
      <c r="L1375" s="17"/>
    </row>
    <row r="1376">
      <c r="A1376" s="11" t="str">
        <f t="shared" si="1"/>
        <v/>
      </c>
      <c r="B1376" s="16"/>
      <c r="C1376" s="16"/>
      <c r="D1376" s="16"/>
      <c r="E1376" s="16"/>
      <c r="F1376" s="17"/>
      <c r="G1376" s="17"/>
      <c r="H1376" s="17"/>
      <c r="I1376" s="17"/>
      <c r="J1376" s="17"/>
      <c r="K1376" s="17"/>
      <c r="L1376" s="17"/>
    </row>
    <row r="1377">
      <c r="A1377" s="11" t="str">
        <f t="shared" si="1"/>
        <v/>
      </c>
      <c r="B1377" s="16"/>
      <c r="C1377" s="16"/>
      <c r="D1377" s="16"/>
      <c r="E1377" s="16"/>
      <c r="F1377" s="17"/>
      <c r="G1377" s="17"/>
      <c r="H1377" s="17"/>
      <c r="I1377" s="17"/>
      <c r="J1377" s="17"/>
      <c r="K1377" s="17"/>
      <c r="L1377" s="17"/>
    </row>
    <row r="1378">
      <c r="A1378" s="11" t="str">
        <f t="shared" si="1"/>
        <v/>
      </c>
      <c r="B1378" s="16"/>
      <c r="C1378" s="16"/>
      <c r="D1378" s="16"/>
      <c r="E1378" s="16"/>
      <c r="F1378" s="17"/>
      <c r="G1378" s="17"/>
      <c r="H1378" s="17"/>
      <c r="I1378" s="17"/>
      <c r="J1378" s="17"/>
      <c r="K1378" s="17"/>
      <c r="L1378" s="17"/>
    </row>
    <row r="1379">
      <c r="A1379" s="11" t="str">
        <f t="shared" si="1"/>
        <v/>
      </c>
      <c r="B1379" s="16"/>
      <c r="C1379" s="16"/>
      <c r="D1379" s="16"/>
      <c r="E1379" s="16"/>
      <c r="F1379" s="17"/>
      <c r="G1379" s="17"/>
      <c r="H1379" s="17"/>
      <c r="I1379" s="17"/>
      <c r="J1379" s="17"/>
      <c r="K1379" s="17"/>
      <c r="L1379" s="17"/>
    </row>
    <row r="1380">
      <c r="A1380" s="11" t="str">
        <f t="shared" si="1"/>
        <v/>
      </c>
      <c r="B1380" s="16"/>
      <c r="C1380" s="16"/>
      <c r="D1380" s="16"/>
      <c r="E1380" s="16"/>
      <c r="F1380" s="17"/>
      <c r="G1380" s="17"/>
      <c r="H1380" s="17"/>
      <c r="I1380" s="17"/>
      <c r="J1380" s="17"/>
      <c r="K1380" s="17"/>
      <c r="L1380" s="17"/>
    </row>
    <row r="1381">
      <c r="A1381" s="11" t="str">
        <f t="shared" si="1"/>
        <v/>
      </c>
      <c r="B1381" s="16"/>
      <c r="C1381" s="16"/>
      <c r="D1381" s="16"/>
      <c r="E1381" s="16"/>
      <c r="F1381" s="17"/>
      <c r="G1381" s="17"/>
      <c r="H1381" s="17"/>
      <c r="I1381" s="17"/>
      <c r="J1381" s="17"/>
      <c r="K1381" s="17"/>
      <c r="L1381" s="17"/>
    </row>
    <row r="1382">
      <c r="A1382" s="11" t="str">
        <f t="shared" si="1"/>
        <v/>
      </c>
      <c r="B1382" s="16"/>
      <c r="C1382" s="16"/>
      <c r="D1382" s="16"/>
      <c r="E1382" s="16"/>
      <c r="F1382" s="17"/>
      <c r="G1382" s="17"/>
      <c r="H1382" s="17"/>
      <c r="I1382" s="17"/>
      <c r="J1382" s="17"/>
      <c r="K1382" s="17"/>
      <c r="L1382" s="17"/>
    </row>
    <row r="1383">
      <c r="A1383" s="11" t="str">
        <f t="shared" si="1"/>
        <v/>
      </c>
      <c r="B1383" s="16"/>
      <c r="C1383" s="16"/>
      <c r="D1383" s="16"/>
      <c r="E1383" s="16"/>
      <c r="F1383" s="17"/>
      <c r="G1383" s="17"/>
      <c r="H1383" s="17"/>
      <c r="I1383" s="17"/>
      <c r="J1383" s="17"/>
      <c r="K1383" s="17"/>
      <c r="L1383" s="17"/>
    </row>
    <row r="1384">
      <c r="A1384" s="11" t="str">
        <f t="shared" si="1"/>
        <v/>
      </c>
      <c r="B1384" s="16"/>
      <c r="C1384" s="16"/>
      <c r="D1384" s="16"/>
      <c r="E1384" s="16"/>
      <c r="F1384" s="17"/>
      <c r="G1384" s="17"/>
      <c r="H1384" s="17"/>
      <c r="I1384" s="17"/>
      <c r="J1384" s="17"/>
      <c r="K1384" s="17"/>
      <c r="L1384" s="17"/>
    </row>
    <row r="1385">
      <c r="A1385" s="11" t="str">
        <f t="shared" si="1"/>
        <v/>
      </c>
      <c r="B1385" s="16"/>
      <c r="C1385" s="16"/>
      <c r="D1385" s="16"/>
      <c r="E1385" s="16"/>
      <c r="F1385" s="17"/>
      <c r="G1385" s="17"/>
      <c r="H1385" s="17"/>
      <c r="I1385" s="17"/>
      <c r="J1385" s="17"/>
      <c r="K1385" s="17"/>
      <c r="L1385" s="17"/>
    </row>
    <row r="1386">
      <c r="A1386" s="11" t="str">
        <f t="shared" si="1"/>
        <v/>
      </c>
      <c r="B1386" s="16"/>
      <c r="C1386" s="16"/>
      <c r="D1386" s="16"/>
      <c r="E1386" s="16"/>
      <c r="F1386" s="17"/>
      <c r="G1386" s="17"/>
      <c r="H1386" s="17"/>
      <c r="I1386" s="17"/>
      <c r="J1386" s="17"/>
      <c r="K1386" s="17"/>
      <c r="L1386" s="17"/>
    </row>
    <row r="1387">
      <c r="A1387" s="11" t="str">
        <f t="shared" si="1"/>
        <v/>
      </c>
      <c r="B1387" s="16"/>
      <c r="C1387" s="16"/>
      <c r="D1387" s="16"/>
      <c r="E1387" s="16"/>
      <c r="F1387" s="17"/>
      <c r="G1387" s="17"/>
      <c r="H1387" s="17"/>
      <c r="I1387" s="17"/>
      <c r="J1387" s="17"/>
      <c r="K1387" s="17"/>
      <c r="L1387" s="17"/>
    </row>
    <row r="1388">
      <c r="A1388" s="11" t="str">
        <f t="shared" si="1"/>
        <v/>
      </c>
      <c r="B1388" s="16"/>
      <c r="C1388" s="16"/>
      <c r="D1388" s="16"/>
      <c r="E1388" s="16"/>
      <c r="F1388" s="17"/>
      <c r="G1388" s="17"/>
      <c r="H1388" s="17"/>
      <c r="I1388" s="17"/>
      <c r="J1388" s="17"/>
      <c r="K1388" s="17"/>
      <c r="L1388" s="17"/>
    </row>
    <row r="1389">
      <c r="A1389" s="11" t="str">
        <f t="shared" si="1"/>
        <v/>
      </c>
      <c r="B1389" s="16"/>
      <c r="C1389" s="16"/>
      <c r="D1389" s="16"/>
      <c r="E1389" s="16"/>
      <c r="F1389" s="17"/>
      <c r="G1389" s="17"/>
      <c r="H1389" s="17"/>
      <c r="I1389" s="17"/>
      <c r="J1389" s="17"/>
      <c r="K1389" s="17"/>
      <c r="L1389" s="17"/>
    </row>
    <row r="1390">
      <c r="A1390" s="11" t="str">
        <f t="shared" si="1"/>
        <v/>
      </c>
      <c r="B1390" s="16"/>
      <c r="C1390" s="16"/>
      <c r="D1390" s="16"/>
      <c r="E1390" s="16"/>
      <c r="F1390" s="17"/>
      <c r="G1390" s="17"/>
      <c r="H1390" s="17"/>
      <c r="I1390" s="17"/>
      <c r="J1390" s="17"/>
      <c r="K1390" s="17"/>
      <c r="L1390" s="17"/>
    </row>
    <row r="1391">
      <c r="A1391" s="11" t="str">
        <f t="shared" si="1"/>
        <v/>
      </c>
      <c r="B1391" s="16"/>
      <c r="C1391" s="16"/>
      <c r="D1391" s="16"/>
      <c r="E1391" s="16"/>
      <c r="F1391" s="17"/>
      <c r="G1391" s="17"/>
      <c r="H1391" s="17"/>
      <c r="I1391" s="17"/>
      <c r="J1391" s="17"/>
      <c r="K1391" s="17"/>
      <c r="L1391" s="17"/>
    </row>
    <row r="1392">
      <c r="A1392" s="11" t="str">
        <f t="shared" si="1"/>
        <v/>
      </c>
      <c r="B1392" s="16"/>
      <c r="C1392" s="16"/>
      <c r="D1392" s="16"/>
      <c r="E1392" s="16"/>
      <c r="F1392" s="17"/>
      <c r="G1392" s="17"/>
      <c r="H1392" s="17"/>
      <c r="I1392" s="17"/>
      <c r="J1392" s="17"/>
      <c r="K1392" s="17"/>
      <c r="L1392" s="17"/>
    </row>
    <row r="1393">
      <c r="A1393" s="11" t="str">
        <f t="shared" si="1"/>
        <v/>
      </c>
      <c r="B1393" s="16"/>
      <c r="C1393" s="16"/>
      <c r="D1393" s="16"/>
      <c r="E1393" s="16"/>
      <c r="F1393" s="17"/>
      <c r="G1393" s="17"/>
      <c r="H1393" s="17"/>
      <c r="I1393" s="17"/>
      <c r="J1393" s="17"/>
      <c r="K1393" s="17"/>
      <c r="L1393" s="17"/>
    </row>
    <row r="1394">
      <c r="A1394" s="11" t="str">
        <f t="shared" si="1"/>
        <v/>
      </c>
      <c r="B1394" s="16"/>
      <c r="C1394" s="16"/>
      <c r="D1394" s="16"/>
      <c r="E1394" s="16"/>
      <c r="F1394" s="17"/>
      <c r="G1394" s="17"/>
      <c r="H1394" s="17"/>
      <c r="I1394" s="17"/>
      <c r="J1394" s="17"/>
      <c r="K1394" s="17"/>
      <c r="L1394" s="17"/>
    </row>
    <row r="1395">
      <c r="A1395" s="11" t="str">
        <f t="shared" si="1"/>
        <v/>
      </c>
      <c r="B1395" s="16"/>
      <c r="C1395" s="16"/>
      <c r="D1395" s="16"/>
      <c r="E1395" s="16"/>
      <c r="F1395" s="17"/>
      <c r="G1395" s="17"/>
      <c r="H1395" s="17"/>
      <c r="I1395" s="17"/>
      <c r="J1395" s="17"/>
      <c r="K1395" s="17"/>
      <c r="L1395" s="17"/>
    </row>
    <row r="1396">
      <c r="A1396" s="11" t="str">
        <f t="shared" si="1"/>
        <v/>
      </c>
      <c r="B1396" s="16"/>
      <c r="C1396" s="16"/>
      <c r="D1396" s="16"/>
      <c r="E1396" s="16"/>
      <c r="F1396" s="17"/>
      <c r="G1396" s="17"/>
      <c r="H1396" s="17"/>
      <c r="I1396" s="17"/>
      <c r="J1396" s="17"/>
      <c r="K1396" s="17"/>
      <c r="L1396" s="17"/>
    </row>
    <row r="1397">
      <c r="A1397" s="11" t="str">
        <f t="shared" si="1"/>
        <v/>
      </c>
      <c r="B1397" s="16"/>
      <c r="C1397" s="16"/>
      <c r="D1397" s="16"/>
      <c r="E1397" s="16"/>
      <c r="F1397" s="17"/>
      <c r="G1397" s="17"/>
      <c r="H1397" s="17"/>
      <c r="I1397" s="17"/>
      <c r="J1397" s="17"/>
      <c r="K1397" s="17"/>
      <c r="L1397" s="17"/>
    </row>
    <row r="1398">
      <c r="A1398" s="11" t="str">
        <f t="shared" si="1"/>
        <v/>
      </c>
      <c r="B1398" s="16"/>
      <c r="C1398" s="16"/>
      <c r="D1398" s="16"/>
      <c r="E1398" s="16"/>
      <c r="F1398" s="17"/>
      <c r="G1398" s="17"/>
      <c r="H1398" s="17"/>
      <c r="I1398" s="17"/>
      <c r="J1398" s="17"/>
      <c r="K1398" s="17"/>
      <c r="L1398" s="17"/>
    </row>
    <row r="1399">
      <c r="A1399" s="11" t="str">
        <f t="shared" si="1"/>
        <v/>
      </c>
      <c r="B1399" s="16"/>
      <c r="C1399" s="16"/>
      <c r="D1399" s="16"/>
      <c r="E1399" s="16"/>
      <c r="F1399" s="17"/>
      <c r="G1399" s="17"/>
      <c r="H1399" s="17"/>
      <c r="I1399" s="17"/>
      <c r="J1399" s="17"/>
      <c r="K1399" s="17"/>
      <c r="L1399" s="17"/>
    </row>
    <row r="1400">
      <c r="A1400" s="11" t="str">
        <f t="shared" si="1"/>
        <v/>
      </c>
      <c r="B1400" s="16"/>
      <c r="C1400" s="16"/>
      <c r="D1400" s="16"/>
      <c r="E1400" s="16"/>
      <c r="F1400" s="17"/>
      <c r="G1400" s="17"/>
      <c r="H1400" s="17"/>
      <c r="I1400" s="17"/>
      <c r="J1400" s="17"/>
      <c r="K1400" s="17"/>
      <c r="L1400" s="17"/>
    </row>
    <row r="1401">
      <c r="A1401" s="11" t="str">
        <f t="shared" si="1"/>
        <v/>
      </c>
      <c r="B1401" s="16"/>
      <c r="C1401" s="16"/>
      <c r="D1401" s="16"/>
      <c r="E1401" s="16"/>
      <c r="F1401" s="17"/>
      <c r="G1401" s="17"/>
      <c r="H1401" s="17"/>
      <c r="I1401" s="17"/>
      <c r="J1401" s="17"/>
      <c r="K1401" s="17"/>
      <c r="L1401" s="17"/>
    </row>
    <row r="1402">
      <c r="A1402" s="11" t="str">
        <f t="shared" si="1"/>
        <v/>
      </c>
      <c r="B1402" s="16"/>
      <c r="C1402" s="16"/>
      <c r="D1402" s="16"/>
      <c r="E1402" s="16"/>
      <c r="F1402" s="17"/>
      <c r="G1402" s="17"/>
      <c r="H1402" s="17"/>
      <c r="I1402" s="17"/>
      <c r="J1402" s="17"/>
      <c r="K1402" s="17"/>
      <c r="L1402" s="17"/>
    </row>
    <row r="1403">
      <c r="A1403" s="11" t="str">
        <f t="shared" si="1"/>
        <v/>
      </c>
      <c r="B1403" s="16"/>
      <c r="C1403" s="16"/>
      <c r="D1403" s="16"/>
      <c r="E1403" s="16"/>
      <c r="F1403" s="17"/>
      <c r="G1403" s="17"/>
      <c r="H1403" s="17"/>
      <c r="I1403" s="17"/>
      <c r="J1403" s="17"/>
      <c r="K1403" s="17"/>
      <c r="L1403" s="17"/>
    </row>
    <row r="1404">
      <c r="A1404" s="11" t="str">
        <f t="shared" si="1"/>
        <v/>
      </c>
      <c r="B1404" s="16"/>
      <c r="C1404" s="16"/>
      <c r="D1404" s="16"/>
      <c r="E1404" s="16"/>
      <c r="F1404" s="17"/>
      <c r="G1404" s="17"/>
      <c r="H1404" s="17"/>
      <c r="I1404" s="17"/>
      <c r="J1404" s="17"/>
      <c r="K1404" s="17"/>
      <c r="L1404" s="17"/>
    </row>
    <row r="1405">
      <c r="A1405" s="11" t="str">
        <f t="shared" si="1"/>
        <v/>
      </c>
      <c r="B1405" s="16"/>
      <c r="C1405" s="16"/>
      <c r="D1405" s="16"/>
      <c r="E1405" s="16"/>
      <c r="F1405" s="17"/>
      <c r="G1405" s="17"/>
      <c r="H1405" s="17"/>
      <c r="I1405" s="17"/>
      <c r="J1405" s="17"/>
      <c r="K1405" s="17"/>
      <c r="L1405" s="17"/>
    </row>
    <row r="1406">
      <c r="A1406" s="11" t="str">
        <f t="shared" si="1"/>
        <v/>
      </c>
      <c r="B1406" s="16"/>
      <c r="C1406" s="16"/>
      <c r="D1406" s="16"/>
      <c r="E1406" s="16"/>
      <c r="F1406" s="17"/>
      <c r="G1406" s="17"/>
      <c r="H1406" s="17"/>
      <c r="I1406" s="17"/>
      <c r="J1406" s="17"/>
      <c r="K1406" s="17"/>
      <c r="L1406" s="17"/>
    </row>
    <row r="1407">
      <c r="A1407" s="11" t="str">
        <f t="shared" si="1"/>
        <v/>
      </c>
      <c r="B1407" s="16"/>
      <c r="C1407" s="16"/>
      <c r="D1407" s="16"/>
      <c r="E1407" s="16"/>
      <c r="F1407" s="17"/>
      <c r="G1407" s="17"/>
      <c r="H1407" s="17"/>
      <c r="I1407" s="17"/>
      <c r="J1407" s="17"/>
      <c r="K1407" s="17"/>
      <c r="L1407" s="17"/>
    </row>
    <row r="1408">
      <c r="A1408" s="11" t="str">
        <f t="shared" si="1"/>
        <v/>
      </c>
      <c r="B1408" s="16"/>
      <c r="C1408" s="16"/>
      <c r="D1408" s="16"/>
      <c r="E1408" s="16"/>
      <c r="F1408" s="17"/>
      <c r="G1408" s="17"/>
      <c r="H1408" s="17"/>
      <c r="I1408" s="17"/>
      <c r="J1408" s="17"/>
      <c r="K1408" s="17"/>
      <c r="L1408" s="17"/>
    </row>
    <row r="1409">
      <c r="A1409" s="11" t="str">
        <f t="shared" si="1"/>
        <v/>
      </c>
      <c r="B1409" s="16"/>
      <c r="C1409" s="16"/>
      <c r="D1409" s="16"/>
      <c r="E1409" s="16"/>
      <c r="F1409" s="17"/>
      <c r="G1409" s="17"/>
      <c r="H1409" s="17"/>
      <c r="I1409" s="17"/>
      <c r="J1409" s="17"/>
      <c r="K1409" s="17"/>
      <c r="L1409" s="17"/>
    </row>
    <row r="1410">
      <c r="A1410" s="11" t="str">
        <f t="shared" si="1"/>
        <v/>
      </c>
      <c r="B1410" s="16"/>
      <c r="C1410" s="16"/>
      <c r="D1410" s="16"/>
      <c r="E1410" s="16"/>
      <c r="F1410" s="17"/>
      <c r="G1410" s="17"/>
      <c r="H1410" s="17"/>
      <c r="I1410" s="17"/>
      <c r="J1410" s="17"/>
      <c r="K1410" s="17"/>
      <c r="L1410" s="17"/>
    </row>
    <row r="1411">
      <c r="A1411" s="11" t="str">
        <f t="shared" si="1"/>
        <v/>
      </c>
      <c r="B1411" s="16"/>
      <c r="C1411" s="16"/>
      <c r="D1411" s="16"/>
      <c r="E1411" s="16"/>
      <c r="F1411" s="17"/>
      <c r="G1411" s="17"/>
      <c r="H1411" s="17"/>
      <c r="I1411" s="17"/>
      <c r="J1411" s="17"/>
      <c r="K1411" s="17"/>
      <c r="L1411" s="17"/>
    </row>
    <row r="1412">
      <c r="A1412" s="11" t="str">
        <f t="shared" si="1"/>
        <v/>
      </c>
      <c r="B1412" s="16"/>
      <c r="C1412" s="16"/>
      <c r="D1412" s="16"/>
      <c r="E1412" s="16"/>
      <c r="F1412" s="17"/>
      <c r="G1412" s="17"/>
      <c r="H1412" s="17"/>
      <c r="I1412" s="17"/>
      <c r="J1412" s="17"/>
      <c r="K1412" s="17"/>
      <c r="L1412" s="17"/>
    </row>
    <row r="1413">
      <c r="A1413" s="11" t="str">
        <f t="shared" si="1"/>
        <v/>
      </c>
      <c r="B1413" s="16"/>
      <c r="C1413" s="16"/>
      <c r="D1413" s="16"/>
      <c r="E1413" s="16"/>
      <c r="F1413" s="17"/>
      <c r="G1413" s="17"/>
      <c r="H1413" s="17"/>
      <c r="I1413" s="17"/>
      <c r="J1413" s="17"/>
      <c r="K1413" s="17"/>
      <c r="L1413" s="17"/>
    </row>
    <row r="1414">
      <c r="A1414" s="11" t="str">
        <f t="shared" si="1"/>
        <v/>
      </c>
      <c r="B1414" s="16"/>
      <c r="C1414" s="16"/>
      <c r="D1414" s="16"/>
      <c r="E1414" s="16"/>
      <c r="F1414" s="17"/>
      <c r="G1414" s="17"/>
      <c r="H1414" s="17"/>
      <c r="I1414" s="17"/>
      <c r="J1414" s="17"/>
      <c r="K1414" s="17"/>
      <c r="L1414" s="17"/>
    </row>
    <row r="1415">
      <c r="A1415" s="11" t="str">
        <f t="shared" si="1"/>
        <v/>
      </c>
      <c r="B1415" s="16"/>
      <c r="C1415" s="16"/>
      <c r="D1415" s="16"/>
      <c r="E1415" s="16"/>
      <c r="F1415" s="17"/>
      <c r="G1415" s="17"/>
      <c r="H1415" s="17"/>
      <c r="I1415" s="17"/>
      <c r="J1415" s="17"/>
      <c r="K1415" s="17"/>
      <c r="L1415" s="17"/>
    </row>
    <row r="1416">
      <c r="A1416" s="11" t="str">
        <f t="shared" si="1"/>
        <v/>
      </c>
      <c r="B1416" s="16"/>
      <c r="C1416" s="16"/>
      <c r="D1416" s="16"/>
      <c r="E1416" s="16"/>
      <c r="F1416" s="17"/>
      <c r="G1416" s="17"/>
      <c r="H1416" s="17"/>
      <c r="I1416" s="17"/>
      <c r="J1416" s="17"/>
      <c r="K1416" s="17"/>
      <c r="L1416" s="17"/>
    </row>
    <row r="1417">
      <c r="A1417" s="11" t="str">
        <f t="shared" si="1"/>
        <v/>
      </c>
      <c r="B1417" s="16"/>
      <c r="C1417" s="16"/>
      <c r="D1417" s="16"/>
      <c r="E1417" s="16"/>
      <c r="F1417" s="17"/>
      <c r="G1417" s="17"/>
      <c r="H1417" s="17"/>
      <c r="I1417" s="17"/>
      <c r="J1417" s="17"/>
      <c r="K1417" s="17"/>
      <c r="L1417" s="17"/>
    </row>
    <row r="1418">
      <c r="A1418" s="11" t="str">
        <f t="shared" si="1"/>
        <v/>
      </c>
      <c r="B1418" s="16"/>
      <c r="C1418" s="16"/>
      <c r="D1418" s="16"/>
      <c r="E1418" s="16"/>
      <c r="F1418" s="17"/>
      <c r="G1418" s="17"/>
      <c r="H1418" s="17"/>
      <c r="I1418" s="17"/>
      <c r="J1418" s="17"/>
      <c r="K1418" s="17"/>
      <c r="L1418" s="17"/>
    </row>
    <row r="1419">
      <c r="A1419" s="11" t="str">
        <f t="shared" si="1"/>
        <v/>
      </c>
      <c r="B1419" s="16"/>
      <c r="C1419" s="16"/>
      <c r="D1419" s="16"/>
      <c r="E1419" s="16"/>
      <c r="F1419" s="17"/>
      <c r="G1419" s="17"/>
      <c r="H1419" s="17"/>
      <c r="I1419" s="17"/>
      <c r="J1419" s="17"/>
      <c r="K1419" s="17"/>
      <c r="L1419" s="17"/>
    </row>
    <row r="1420">
      <c r="A1420" s="11" t="str">
        <f t="shared" si="1"/>
        <v/>
      </c>
      <c r="B1420" s="16"/>
      <c r="C1420" s="16"/>
      <c r="D1420" s="16"/>
      <c r="E1420" s="16"/>
      <c r="F1420" s="17"/>
      <c r="G1420" s="17"/>
      <c r="H1420" s="17"/>
      <c r="I1420" s="17"/>
      <c r="J1420" s="17"/>
      <c r="K1420" s="17"/>
      <c r="L1420" s="17"/>
    </row>
    <row r="1421">
      <c r="A1421" s="11" t="str">
        <f t="shared" si="1"/>
        <v/>
      </c>
      <c r="B1421" s="16"/>
      <c r="C1421" s="16"/>
      <c r="D1421" s="16"/>
      <c r="E1421" s="16"/>
      <c r="F1421" s="17"/>
      <c r="G1421" s="17"/>
      <c r="H1421" s="17"/>
      <c r="I1421" s="17"/>
      <c r="J1421" s="17"/>
      <c r="K1421" s="17"/>
      <c r="L1421" s="17"/>
    </row>
    <row r="1422">
      <c r="A1422" s="11" t="str">
        <f t="shared" si="1"/>
        <v/>
      </c>
      <c r="B1422" s="16"/>
      <c r="C1422" s="16"/>
      <c r="D1422" s="16"/>
      <c r="E1422" s="16"/>
      <c r="F1422" s="17"/>
      <c r="G1422" s="17"/>
      <c r="H1422" s="17"/>
      <c r="I1422" s="17"/>
      <c r="J1422" s="17"/>
      <c r="K1422" s="17"/>
      <c r="L1422" s="17"/>
    </row>
    <row r="1423">
      <c r="A1423" s="11" t="str">
        <f t="shared" si="1"/>
        <v/>
      </c>
      <c r="B1423" s="16"/>
      <c r="C1423" s="16"/>
      <c r="D1423" s="16"/>
      <c r="E1423" s="16"/>
      <c r="F1423" s="17"/>
      <c r="G1423" s="17"/>
      <c r="H1423" s="17"/>
      <c r="I1423" s="17"/>
      <c r="J1423" s="17"/>
      <c r="K1423" s="17"/>
      <c r="L1423" s="17"/>
    </row>
    <row r="1424">
      <c r="A1424" s="11" t="str">
        <f t="shared" si="1"/>
        <v/>
      </c>
      <c r="B1424" s="16"/>
      <c r="C1424" s="16"/>
      <c r="D1424" s="16"/>
      <c r="E1424" s="16"/>
      <c r="F1424" s="17"/>
      <c r="G1424" s="17"/>
      <c r="H1424" s="17"/>
      <c r="I1424" s="17"/>
      <c r="J1424" s="17"/>
      <c r="K1424" s="17"/>
      <c r="L1424" s="17"/>
    </row>
    <row r="1425">
      <c r="A1425" s="11" t="str">
        <f t="shared" si="1"/>
        <v/>
      </c>
      <c r="B1425" s="16"/>
      <c r="C1425" s="16"/>
      <c r="D1425" s="16"/>
      <c r="E1425" s="16"/>
      <c r="F1425" s="17"/>
      <c r="G1425" s="17"/>
      <c r="H1425" s="17"/>
      <c r="I1425" s="17"/>
      <c r="J1425" s="17"/>
      <c r="K1425" s="17"/>
      <c r="L1425" s="17"/>
    </row>
    <row r="1426">
      <c r="A1426" s="11" t="str">
        <f t="shared" si="1"/>
        <v/>
      </c>
      <c r="B1426" s="16"/>
      <c r="C1426" s="16"/>
      <c r="D1426" s="16"/>
      <c r="E1426" s="16"/>
      <c r="F1426" s="17"/>
      <c r="G1426" s="17"/>
      <c r="H1426" s="17"/>
      <c r="I1426" s="17"/>
      <c r="J1426" s="17"/>
      <c r="K1426" s="17"/>
      <c r="L1426" s="17"/>
    </row>
    <row r="1427">
      <c r="A1427" s="11" t="str">
        <f t="shared" si="1"/>
        <v/>
      </c>
      <c r="B1427" s="16"/>
      <c r="C1427" s="16"/>
      <c r="D1427" s="16"/>
      <c r="E1427" s="16"/>
      <c r="F1427" s="17"/>
      <c r="G1427" s="17"/>
      <c r="H1427" s="17"/>
      <c r="I1427" s="17"/>
      <c r="J1427" s="17"/>
      <c r="K1427" s="17"/>
      <c r="L1427" s="17"/>
    </row>
    <row r="1428">
      <c r="A1428" s="11" t="str">
        <f t="shared" si="1"/>
        <v/>
      </c>
      <c r="B1428" s="16"/>
      <c r="C1428" s="16"/>
      <c r="D1428" s="16"/>
      <c r="E1428" s="16"/>
      <c r="F1428" s="17"/>
      <c r="G1428" s="17"/>
      <c r="H1428" s="17"/>
      <c r="I1428" s="17"/>
      <c r="J1428" s="17"/>
      <c r="K1428" s="17"/>
      <c r="L1428" s="17"/>
    </row>
    <row r="1429">
      <c r="A1429" s="11" t="str">
        <f t="shared" si="1"/>
        <v/>
      </c>
      <c r="B1429" s="16"/>
      <c r="C1429" s="16"/>
      <c r="D1429" s="16"/>
      <c r="E1429" s="16"/>
      <c r="F1429" s="17"/>
      <c r="G1429" s="17"/>
      <c r="H1429" s="17"/>
      <c r="I1429" s="17"/>
      <c r="J1429" s="17"/>
      <c r="K1429" s="17"/>
      <c r="L1429" s="17"/>
    </row>
    <row r="1430">
      <c r="A1430" s="11" t="str">
        <f t="shared" si="1"/>
        <v/>
      </c>
      <c r="B1430" s="16"/>
      <c r="C1430" s="16"/>
      <c r="D1430" s="16"/>
      <c r="E1430" s="16"/>
      <c r="F1430" s="17"/>
      <c r="G1430" s="17"/>
      <c r="H1430" s="17"/>
      <c r="I1430" s="17"/>
      <c r="J1430" s="17"/>
      <c r="K1430" s="17"/>
      <c r="L1430" s="17"/>
    </row>
    <row r="1431">
      <c r="A1431" s="11" t="str">
        <f t="shared" si="1"/>
        <v/>
      </c>
      <c r="B1431" s="16"/>
      <c r="C1431" s="16"/>
      <c r="D1431" s="16"/>
      <c r="E1431" s="16"/>
      <c r="F1431" s="17"/>
      <c r="G1431" s="17"/>
      <c r="H1431" s="17"/>
      <c r="I1431" s="17"/>
      <c r="J1431" s="17"/>
      <c r="K1431" s="17"/>
      <c r="L1431" s="17"/>
    </row>
    <row r="1432">
      <c r="A1432" s="11" t="str">
        <f t="shared" si="1"/>
        <v/>
      </c>
      <c r="B1432" s="16"/>
      <c r="C1432" s="16"/>
      <c r="D1432" s="16"/>
      <c r="E1432" s="16"/>
      <c r="F1432" s="17"/>
      <c r="G1432" s="17"/>
      <c r="H1432" s="17"/>
      <c r="I1432" s="17"/>
      <c r="J1432" s="17"/>
      <c r="K1432" s="17"/>
      <c r="L1432" s="17"/>
    </row>
    <row r="1433">
      <c r="A1433" s="11" t="str">
        <f t="shared" si="1"/>
        <v/>
      </c>
      <c r="B1433" s="16"/>
      <c r="C1433" s="16"/>
      <c r="D1433" s="16"/>
      <c r="E1433" s="16"/>
      <c r="F1433" s="17"/>
      <c r="G1433" s="17"/>
      <c r="H1433" s="17"/>
      <c r="I1433" s="17"/>
      <c r="J1433" s="17"/>
      <c r="K1433" s="17"/>
      <c r="L1433" s="17"/>
    </row>
    <row r="1434">
      <c r="A1434" s="11" t="str">
        <f t="shared" si="1"/>
        <v/>
      </c>
      <c r="B1434" s="16"/>
      <c r="C1434" s="16"/>
      <c r="D1434" s="16"/>
      <c r="E1434" s="16"/>
      <c r="F1434" s="17"/>
      <c r="G1434" s="17"/>
      <c r="H1434" s="17"/>
      <c r="I1434" s="17"/>
      <c r="J1434" s="17"/>
      <c r="K1434" s="17"/>
      <c r="L1434" s="17"/>
    </row>
    <row r="1435">
      <c r="A1435" s="11" t="str">
        <f t="shared" si="1"/>
        <v/>
      </c>
      <c r="B1435" s="16"/>
      <c r="C1435" s="16"/>
      <c r="D1435" s="16"/>
      <c r="E1435" s="16"/>
      <c r="F1435" s="17"/>
      <c r="G1435" s="17"/>
      <c r="H1435" s="17"/>
      <c r="I1435" s="17"/>
      <c r="J1435" s="17"/>
      <c r="K1435" s="17"/>
      <c r="L1435" s="17"/>
    </row>
    <row r="1436">
      <c r="A1436" s="11" t="str">
        <f t="shared" si="1"/>
        <v/>
      </c>
      <c r="B1436" s="16"/>
      <c r="C1436" s="16"/>
      <c r="D1436" s="16"/>
      <c r="E1436" s="16"/>
      <c r="F1436" s="17"/>
      <c r="G1436" s="17"/>
      <c r="H1436" s="17"/>
      <c r="I1436" s="17"/>
      <c r="J1436" s="17"/>
      <c r="K1436" s="17"/>
      <c r="L1436" s="17"/>
    </row>
    <row r="1437">
      <c r="A1437" s="11" t="str">
        <f t="shared" si="1"/>
        <v/>
      </c>
      <c r="B1437" s="16"/>
      <c r="C1437" s="16"/>
      <c r="D1437" s="16"/>
      <c r="E1437" s="16"/>
      <c r="F1437" s="17"/>
      <c r="G1437" s="17"/>
      <c r="H1437" s="17"/>
      <c r="I1437" s="17"/>
      <c r="J1437" s="17"/>
      <c r="K1437" s="17"/>
      <c r="L1437" s="17"/>
    </row>
    <row r="1438">
      <c r="A1438" s="11" t="str">
        <f t="shared" si="1"/>
        <v/>
      </c>
      <c r="B1438" s="16"/>
      <c r="C1438" s="16"/>
      <c r="D1438" s="16"/>
      <c r="E1438" s="16"/>
      <c r="F1438" s="17"/>
      <c r="G1438" s="17"/>
      <c r="H1438" s="17"/>
      <c r="I1438" s="17"/>
      <c r="J1438" s="17"/>
      <c r="K1438" s="17"/>
      <c r="L1438" s="17"/>
    </row>
    <row r="1439">
      <c r="A1439" s="11" t="str">
        <f t="shared" si="1"/>
        <v/>
      </c>
      <c r="B1439" s="16"/>
      <c r="C1439" s="16"/>
      <c r="D1439" s="16"/>
      <c r="E1439" s="16"/>
      <c r="F1439" s="17"/>
      <c r="G1439" s="17"/>
      <c r="H1439" s="17"/>
      <c r="I1439" s="17"/>
      <c r="J1439" s="17"/>
      <c r="K1439" s="17"/>
      <c r="L1439" s="17"/>
    </row>
    <row r="1440">
      <c r="A1440" s="11" t="str">
        <f t="shared" si="1"/>
        <v/>
      </c>
      <c r="B1440" s="16"/>
      <c r="C1440" s="16"/>
      <c r="D1440" s="16"/>
      <c r="E1440" s="16"/>
      <c r="F1440" s="17"/>
      <c r="G1440" s="17"/>
      <c r="H1440" s="17"/>
      <c r="I1440" s="17"/>
      <c r="J1440" s="17"/>
      <c r="K1440" s="17"/>
      <c r="L1440" s="17"/>
    </row>
    <row r="1441">
      <c r="A1441" s="11" t="str">
        <f t="shared" si="1"/>
        <v/>
      </c>
      <c r="B1441" s="16"/>
      <c r="C1441" s="16"/>
      <c r="D1441" s="16"/>
      <c r="E1441" s="16"/>
      <c r="F1441" s="17"/>
      <c r="G1441" s="17"/>
      <c r="H1441" s="17"/>
      <c r="I1441" s="17"/>
      <c r="J1441" s="17"/>
      <c r="K1441" s="17"/>
      <c r="L1441" s="17"/>
    </row>
    <row r="1442">
      <c r="A1442" s="11" t="str">
        <f t="shared" si="1"/>
        <v/>
      </c>
      <c r="B1442" s="16"/>
      <c r="C1442" s="16"/>
      <c r="D1442" s="16"/>
      <c r="E1442" s="16"/>
      <c r="F1442" s="17"/>
      <c r="G1442" s="17"/>
      <c r="H1442" s="17"/>
      <c r="I1442" s="17"/>
      <c r="J1442" s="17"/>
      <c r="K1442" s="17"/>
      <c r="L1442" s="17"/>
    </row>
    <row r="1443">
      <c r="A1443" s="11" t="str">
        <f t="shared" si="1"/>
        <v/>
      </c>
      <c r="B1443" s="16"/>
      <c r="C1443" s="16"/>
      <c r="D1443" s="16"/>
      <c r="E1443" s="16"/>
      <c r="F1443" s="17"/>
      <c r="G1443" s="17"/>
      <c r="H1443" s="17"/>
      <c r="I1443" s="17"/>
      <c r="J1443" s="17"/>
      <c r="K1443" s="17"/>
      <c r="L1443" s="17"/>
    </row>
    <row r="1444">
      <c r="A1444" s="11" t="str">
        <f t="shared" si="1"/>
        <v/>
      </c>
      <c r="B1444" s="16"/>
      <c r="C1444" s="16"/>
      <c r="D1444" s="16"/>
      <c r="E1444" s="16"/>
      <c r="F1444" s="17"/>
      <c r="G1444" s="17"/>
      <c r="H1444" s="17"/>
      <c r="I1444" s="17"/>
      <c r="J1444" s="17"/>
      <c r="K1444" s="17"/>
      <c r="L1444" s="17"/>
    </row>
    <row r="1445">
      <c r="A1445" s="11" t="str">
        <f t="shared" si="1"/>
        <v/>
      </c>
      <c r="B1445" s="16"/>
      <c r="C1445" s="16"/>
      <c r="D1445" s="16"/>
      <c r="E1445" s="16"/>
      <c r="F1445" s="17"/>
      <c r="G1445" s="17"/>
      <c r="H1445" s="17"/>
      <c r="I1445" s="17"/>
      <c r="J1445" s="17"/>
      <c r="K1445" s="17"/>
      <c r="L1445" s="17"/>
    </row>
    <row r="1446">
      <c r="A1446" s="11" t="str">
        <f t="shared" si="1"/>
        <v/>
      </c>
      <c r="B1446" s="16"/>
      <c r="C1446" s="16"/>
      <c r="D1446" s="16"/>
      <c r="E1446" s="16"/>
      <c r="F1446" s="17"/>
      <c r="G1446" s="17"/>
      <c r="H1446" s="17"/>
      <c r="I1446" s="17"/>
      <c r="J1446" s="17"/>
      <c r="K1446" s="17"/>
      <c r="L1446" s="17"/>
    </row>
    <row r="1447">
      <c r="A1447" s="11" t="str">
        <f t="shared" si="1"/>
        <v/>
      </c>
      <c r="B1447" s="16"/>
      <c r="C1447" s="16"/>
      <c r="D1447" s="16"/>
      <c r="E1447" s="16"/>
      <c r="F1447" s="17"/>
      <c r="G1447" s="17"/>
      <c r="H1447" s="17"/>
      <c r="I1447" s="17"/>
      <c r="J1447" s="17"/>
      <c r="K1447" s="17"/>
      <c r="L1447" s="17"/>
    </row>
    <row r="1448">
      <c r="A1448" s="11" t="str">
        <f t="shared" si="1"/>
        <v/>
      </c>
      <c r="B1448" s="16"/>
      <c r="C1448" s="16"/>
      <c r="D1448" s="16"/>
      <c r="E1448" s="16"/>
      <c r="F1448" s="17"/>
      <c r="G1448" s="17"/>
      <c r="H1448" s="17"/>
      <c r="I1448" s="17"/>
      <c r="J1448" s="17"/>
      <c r="K1448" s="17"/>
      <c r="L1448" s="17"/>
    </row>
    <row r="1449">
      <c r="A1449" s="11" t="str">
        <f t="shared" si="1"/>
        <v/>
      </c>
      <c r="B1449" s="16"/>
      <c r="C1449" s="16"/>
      <c r="D1449" s="16"/>
      <c r="E1449" s="16"/>
      <c r="F1449" s="17"/>
      <c r="G1449" s="17"/>
      <c r="H1449" s="17"/>
      <c r="I1449" s="17"/>
      <c r="J1449" s="17"/>
      <c r="K1449" s="17"/>
      <c r="L1449" s="17"/>
    </row>
    <row r="1450">
      <c r="A1450" s="11" t="str">
        <f t="shared" si="1"/>
        <v/>
      </c>
      <c r="B1450" s="16"/>
      <c r="C1450" s="16"/>
      <c r="D1450" s="16"/>
      <c r="E1450" s="16"/>
      <c r="F1450" s="17"/>
      <c r="G1450" s="17"/>
      <c r="H1450" s="17"/>
      <c r="I1450" s="17"/>
      <c r="J1450" s="17"/>
      <c r="K1450" s="17"/>
      <c r="L1450" s="17"/>
    </row>
    <row r="1451">
      <c r="A1451" s="11" t="str">
        <f t="shared" si="1"/>
        <v/>
      </c>
      <c r="B1451" s="16"/>
      <c r="C1451" s="16"/>
      <c r="D1451" s="16"/>
      <c r="E1451" s="16"/>
      <c r="F1451" s="17"/>
      <c r="G1451" s="17"/>
      <c r="H1451" s="17"/>
      <c r="I1451" s="17"/>
      <c r="J1451" s="17"/>
      <c r="K1451" s="17"/>
      <c r="L1451" s="17"/>
    </row>
    <row r="1452">
      <c r="A1452" s="11" t="str">
        <f t="shared" si="1"/>
        <v/>
      </c>
      <c r="B1452" s="16"/>
      <c r="C1452" s="16"/>
      <c r="D1452" s="16"/>
      <c r="E1452" s="16"/>
      <c r="F1452" s="17"/>
      <c r="G1452" s="17"/>
      <c r="H1452" s="17"/>
      <c r="I1452" s="17"/>
      <c r="J1452" s="17"/>
      <c r="K1452" s="17"/>
      <c r="L1452" s="17"/>
    </row>
    <row r="1453">
      <c r="A1453" s="11" t="str">
        <f t="shared" si="1"/>
        <v/>
      </c>
      <c r="B1453" s="16"/>
      <c r="C1453" s="16"/>
      <c r="D1453" s="16"/>
      <c r="E1453" s="16"/>
      <c r="F1453" s="17"/>
      <c r="G1453" s="17"/>
      <c r="H1453" s="17"/>
      <c r="I1453" s="17"/>
      <c r="J1453" s="17"/>
      <c r="K1453" s="17"/>
      <c r="L1453" s="17"/>
    </row>
    <row r="1454">
      <c r="A1454" s="11" t="str">
        <f t="shared" si="1"/>
        <v/>
      </c>
      <c r="B1454" s="16"/>
      <c r="C1454" s="16"/>
      <c r="D1454" s="16"/>
      <c r="E1454" s="16"/>
      <c r="F1454" s="17"/>
      <c r="G1454" s="17"/>
      <c r="H1454" s="17"/>
      <c r="I1454" s="17"/>
      <c r="J1454" s="17"/>
      <c r="K1454" s="17"/>
      <c r="L1454" s="17"/>
    </row>
    <row r="1455">
      <c r="A1455" s="11" t="str">
        <f t="shared" si="1"/>
        <v/>
      </c>
      <c r="B1455" s="16"/>
      <c r="C1455" s="16"/>
      <c r="D1455" s="16"/>
      <c r="E1455" s="16"/>
      <c r="F1455" s="17"/>
      <c r="G1455" s="17"/>
      <c r="H1455" s="17"/>
      <c r="I1455" s="17"/>
      <c r="J1455" s="17"/>
      <c r="K1455" s="17"/>
      <c r="L1455" s="17"/>
    </row>
    <row r="1456">
      <c r="A1456" s="11" t="str">
        <f t="shared" si="1"/>
        <v/>
      </c>
      <c r="B1456" s="16"/>
      <c r="C1456" s="16"/>
      <c r="D1456" s="16"/>
      <c r="E1456" s="16"/>
      <c r="F1456" s="17"/>
      <c r="G1456" s="17"/>
      <c r="H1456" s="17"/>
      <c r="I1456" s="17"/>
      <c r="J1456" s="17"/>
      <c r="K1456" s="17"/>
      <c r="L1456" s="17"/>
    </row>
    <row r="1457">
      <c r="A1457" s="11" t="str">
        <f t="shared" si="1"/>
        <v/>
      </c>
      <c r="B1457" s="16"/>
      <c r="C1457" s="16"/>
      <c r="D1457" s="16"/>
      <c r="E1457" s="16"/>
      <c r="F1457" s="17"/>
      <c r="G1457" s="17"/>
      <c r="H1457" s="17"/>
      <c r="I1457" s="17"/>
      <c r="J1457" s="17"/>
      <c r="K1457" s="17"/>
      <c r="L1457" s="17"/>
    </row>
    <row r="1458">
      <c r="A1458" s="11" t="str">
        <f t="shared" si="1"/>
        <v/>
      </c>
      <c r="B1458" s="16"/>
      <c r="C1458" s="16"/>
      <c r="D1458" s="16"/>
      <c r="E1458" s="16"/>
      <c r="F1458" s="17"/>
      <c r="G1458" s="17"/>
      <c r="H1458" s="17"/>
      <c r="I1458" s="17"/>
      <c r="J1458" s="17"/>
      <c r="K1458" s="17"/>
      <c r="L1458" s="17"/>
    </row>
    <row r="1459">
      <c r="A1459" s="11" t="str">
        <f t="shared" si="1"/>
        <v/>
      </c>
      <c r="B1459" s="16"/>
      <c r="C1459" s="16"/>
      <c r="D1459" s="16"/>
      <c r="E1459" s="16"/>
      <c r="F1459" s="17"/>
      <c r="G1459" s="17"/>
      <c r="H1459" s="17"/>
      <c r="I1459" s="17"/>
      <c r="J1459" s="17"/>
      <c r="K1459" s="17"/>
      <c r="L1459" s="17"/>
    </row>
    <row r="1460">
      <c r="A1460" s="11" t="str">
        <f t="shared" si="1"/>
        <v/>
      </c>
      <c r="B1460" s="16"/>
      <c r="C1460" s="16"/>
      <c r="D1460" s="16"/>
      <c r="E1460" s="16"/>
      <c r="F1460" s="17"/>
      <c r="G1460" s="17"/>
      <c r="H1460" s="17"/>
      <c r="I1460" s="17"/>
      <c r="J1460" s="17"/>
      <c r="K1460" s="17"/>
      <c r="L1460" s="17"/>
    </row>
    <row r="1461">
      <c r="A1461" s="11" t="str">
        <f t="shared" si="1"/>
        <v/>
      </c>
      <c r="B1461" s="16"/>
      <c r="C1461" s="16"/>
      <c r="D1461" s="16"/>
      <c r="E1461" s="16"/>
      <c r="F1461" s="17"/>
      <c r="G1461" s="17"/>
      <c r="H1461" s="17"/>
      <c r="I1461" s="17"/>
      <c r="J1461" s="17"/>
      <c r="K1461" s="17"/>
      <c r="L1461" s="17"/>
    </row>
    <row r="1462">
      <c r="A1462" s="11" t="str">
        <f t="shared" si="1"/>
        <v/>
      </c>
      <c r="B1462" s="16"/>
      <c r="C1462" s="16"/>
      <c r="D1462" s="16"/>
      <c r="E1462" s="16"/>
      <c r="F1462" s="17"/>
      <c r="G1462" s="17"/>
      <c r="H1462" s="17"/>
      <c r="I1462" s="17"/>
      <c r="J1462" s="17"/>
      <c r="K1462" s="17"/>
      <c r="L1462" s="17"/>
    </row>
    <row r="1463">
      <c r="A1463" s="11" t="str">
        <f t="shared" si="1"/>
        <v/>
      </c>
      <c r="B1463" s="16"/>
      <c r="C1463" s="16"/>
      <c r="D1463" s="16"/>
      <c r="E1463" s="16"/>
      <c r="F1463" s="17"/>
      <c r="G1463" s="17"/>
      <c r="H1463" s="17"/>
      <c r="I1463" s="17"/>
      <c r="J1463" s="17"/>
      <c r="K1463" s="17"/>
      <c r="L1463" s="17"/>
    </row>
    <row r="1464">
      <c r="A1464" s="11" t="str">
        <f t="shared" si="1"/>
        <v/>
      </c>
      <c r="B1464" s="16"/>
      <c r="C1464" s="16"/>
      <c r="D1464" s="16"/>
      <c r="E1464" s="16"/>
      <c r="F1464" s="17"/>
      <c r="G1464" s="17"/>
      <c r="H1464" s="17"/>
      <c r="I1464" s="17"/>
      <c r="J1464" s="17"/>
      <c r="K1464" s="17"/>
      <c r="L1464" s="17"/>
    </row>
    <row r="1465">
      <c r="A1465" s="11" t="str">
        <f t="shared" si="1"/>
        <v/>
      </c>
      <c r="B1465" s="16"/>
      <c r="C1465" s="16"/>
      <c r="D1465" s="16"/>
      <c r="E1465" s="16"/>
      <c r="F1465" s="17"/>
      <c r="G1465" s="17"/>
      <c r="H1465" s="17"/>
      <c r="I1465" s="17"/>
      <c r="J1465" s="17"/>
      <c r="K1465" s="17"/>
      <c r="L1465" s="17"/>
    </row>
    <row r="1466">
      <c r="A1466" s="11" t="str">
        <f t="shared" si="1"/>
        <v/>
      </c>
      <c r="B1466" s="16"/>
      <c r="C1466" s="16"/>
      <c r="D1466" s="16"/>
      <c r="E1466" s="16"/>
      <c r="F1466" s="17"/>
      <c r="G1466" s="17"/>
      <c r="H1466" s="17"/>
      <c r="I1466" s="17"/>
      <c r="J1466" s="17"/>
      <c r="K1466" s="17"/>
      <c r="L1466" s="17"/>
    </row>
    <row r="1467">
      <c r="A1467" s="11" t="str">
        <f t="shared" si="1"/>
        <v/>
      </c>
      <c r="B1467" s="16"/>
      <c r="C1467" s="16"/>
      <c r="D1467" s="16"/>
      <c r="E1467" s="16"/>
      <c r="F1467" s="17"/>
      <c r="G1467" s="17"/>
      <c r="H1467" s="17"/>
      <c r="I1467" s="17"/>
      <c r="J1467" s="17"/>
      <c r="K1467" s="17"/>
      <c r="L1467" s="17"/>
    </row>
    <row r="1468">
      <c r="A1468" s="11" t="str">
        <f t="shared" si="1"/>
        <v/>
      </c>
      <c r="B1468" s="16"/>
      <c r="C1468" s="16"/>
      <c r="D1468" s="16"/>
      <c r="E1468" s="16"/>
      <c r="F1468" s="17"/>
      <c r="G1468" s="17"/>
      <c r="H1468" s="17"/>
      <c r="I1468" s="17"/>
      <c r="J1468" s="17"/>
      <c r="K1468" s="17"/>
      <c r="L1468" s="17"/>
    </row>
    <row r="1469">
      <c r="A1469" s="11" t="str">
        <f t="shared" si="1"/>
        <v/>
      </c>
      <c r="B1469" s="16"/>
      <c r="C1469" s="16"/>
      <c r="D1469" s="16"/>
      <c r="E1469" s="16"/>
      <c r="F1469" s="17"/>
      <c r="G1469" s="17"/>
      <c r="H1469" s="17"/>
      <c r="I1469" s="17"/>
      <c r="J1469" s="17"/>
      <c r="K1469" s="17"/>
      <c r="L1469" s="17"/>
    </row>
    <row r="1470">
      <c r="A1470" s="11" t="str">
        <f t="shared" si="1"/>
        <v/>
      </c>
      <c r="B1470" s="16"/>
      <c r="C1470" s="16"/>
      <c r="D1470" s="16"/>
      <c r="E1470" s="16"/>
      <c r="F1470" s="17"/>
      <c r="G1470" s="17"/>
      <c r="H1470" s="17"/>
      <c r="I1470" s="17"/>
      <c r="J1470" s="17"/>
      <c r="K1470" s="17"/>
      <c r="L1470" s="17"/>
    </row>
    <row r="1471">
      <c r="A1471" s="11" t="str">
        <f t="shared" si="1"/>
        <v/>
      </c>
      <c r="B1471" s="16"/>
      <c r="C1471" s="16"/>
      <c r="D1471" s="16"/>
      <c r="E1471" s="16"/>
      <c r="F1471" s="17"/>
      <c r="G1471" s="17"/>
      <c r="H1471" s="17"/>
      <c r="I1471" s="17"/>
      <c r="J1471" s="17"/>
      <c r="K1471" s="17"/>
      <c r="L1471" s="17"/>
    </row>
    <row r="1472">
      <c r="A1472" s="11" t="str">
        <f t="shared" si="1"/>
        <v/>
      </c>
      <c r="B1472" s="16"/>
      <c r="C1472" s="16"/>
      <c r="D1472" s="16"/>
      <c r="E1472" s="16"/>
      <c r="F1472" s="17"/>
      <c r="G1472" s="17"/>
      <c r="H1472" s="17"/>
      <c r="I1472" s="17"/>
      <c r="J1472" s="17"/>
      <c r="K1472" s="17"/>
      <c r="L1472" s="17"/>
    </row>
    <row r="1473">
      <c r="A1473" s="11" t="str">
        <f t="shared" si="1"/>
        <v/>
      </c>
      <c r="B1473" s="16"/>
      <c r="C1473" s="16"/>
      <c r="D1473" s="16"/>
      <c r="E1473" s="16"/>
      <c r="F1473" s="17"/>
      <c r="G1473" s="17"/>
      <c r="H1473" s="17"/>
      <c r="I1473" s="17"/>
      <c r="J1473" s="17"/>
      <c r="K1473" s="17"/>
      <c r="L1473" s="17"/>
    </row>
    <row r="1474">
      <c r="A1474" s="11" t="str">
        <f t="shared" si="1"/>
        <v/>
      </c>
      <c r="B1474" s="16"/>
      <c r="C1474" s="16"/>
      <c r="D1474" s="16"/>
      <c r="E1474" s="16"/>
      <c r="F1474" s="17"/>
      <c r="G1474" s="17"/>
      <c r="H1474" s="17"/>
      <c r="I1474" s="17"/>
      <c r="J1474" s="17"/>
      <c r="K1474" s="17"/>
      <c r="L1474" s="17"/>
    </row>
    <row r="1475">
      <c r="A1475" s="11" t="str">
        <f t="shared" si="1"/>
        <v/>
      </c>
      <c r="B1475" s="16"/>
      <c r="C1475" s="16"/>
      <c r="D1475" s="16"/>
      <c r="E1475" s="16"/>
      <c r="F1475" s="17"/>
      <c r="G1475" s="17"/>
      <c r="H1475" s="17"/>
      <c r="I1475" s="17"/>
      <c r="J1475" s="17"/>
      <c r="K1475" s="17"/>
      <c r="L1475" s="17"/>
    </row>
    <row r="1476">
      <c r="A1476" s="11" t="str">
        <f t="shared" si="1"/>
        <v/>
      </c>
      <c r="B1476" s="16"/>
      <c r="C1476" s="16"/>
      <c r="D1476" s="16"/>
      <c r="E1476" s="16"/>
      <c r="F1476" s="17"/>
      <c r="G1476" s="17"/>
      <c r="H1476" s="17"/>
      <c r="I1476" s="17"/>
      <c r="J1476" s="17"/>
      <c r="K1476" s="17"/>
      <c r="L1476" s="17"/>
    </row>
    <row r="1477">
      <c r="A1477" s="11" t="str">
        <f t="shared" si="1"/>
        <v/>
      </c>
      <c r="B1477" s="16"/>
      <c r="C1477" s="16"/>
      <c r="D1477" s="16"/>
      <c r="E1477" s="16"/>
      <c r="F1477" s="17"/>
      <c r="G1477" s="17"/>
      <c r="H1477" s="17"/>
      <c r="I1477" s="17"/>
      <c r="J1477" s="17"/>
      <c r="K1477" s="17"/>
      <c r="L1477" s="17"/>
    </row>
    <row r="1478">
      <c r="A1478" s="11" t="str">
        <f t="shared" si="1"/>
        <v/>
      </c>
      <c r="B1478" s="16"/>
      <c r="C1478" s="16"/>
      <c r="D1478" s="16"/>
      <c r="E1478" s="16"/>
      <c r="F1478" s="17"/>
      <c r="G1478" s="17"/>
      <c r="H1478" s="17"/>
      <c r="I1478" s="17"/>
      <c r="J1478" s="17"/>
      <c r="K1478" s="17"/>
      <c r="L1478" s="17"/>
    </row>
    <row r="1479">
      <c r="A1479" s="11" t="str">
        <f t="shared" si="1"/>
        <v/>
      </c>
      <c r="B1479" s="16"/>
      <c r="C1479" s="16"/>
      <c r="D1479" s="16"/>
      <c r="E1479" s="16"/>
      <c r="F1479" s="17"/>
      <c r="G1479" s="17"/>
      <c r="H1479" s="17"/>
      <c r="I1479" s="17"/>
      <c r="J1479" s="17"/>
      <c r="K1479" s="17"/>
      <c r="L1479" s="17"/>
    </row>
    <row r="1480">
      <c r="A1480" s="11" t="str">
        <f t="shared" si="1"/>
        <v/>
      </c>
      <c r="B1480" s="16"/>
      <c r="C1480" s="16"/>
      <c r="D1480" s="16"/>
      <c r="E1480" s="16"/>
      <c r="F1480" s="17"/>
      <c r="G1480" s="17"/>
      <c r="H1480" s="17"/>
      <c r="I1480" s="17"/>
      <c r="J1480" s="17"/>
      <c r="K1480" s="17"/>
      <c r="L1480" s="17"/>
    </row>
    <row r="1481">
      <c r="A1481" s="11" t="str">
        <f t="shared" si="1"/>
        <v/>
      </c>
      <c r="B1481" s="16"/>
      <c r="C1481" s="16"/>
      <c r="D1481" s="16"/>
      <c r="E1481" s="16"/>
      <c r="F1481" s="17"/>
      <c r="G1481" s="17"/>
      <c r="H1481" s="17"/>
      <c r="I1481" s="17"/>
      <c r="J1481" s="17"/>
      <c r="K1481" s="17"/>
      <c r="L1481" s="17"/>
    </row>
    <row r="1482">
      <c r="A1482" s="11" t="str">
        <f t="shared" si="1"/>
        <v/>
      </c>
      <c r="B1482" s="16"/>
      <c r="C1482" s="16"/>
      <c r="D1482" s="16"/>
      <c r="E1482" s="16"/>
      <c r="F1482" s="17"/>
      <c r="G1482" s="17"/>
      <c r="H1482" s="17"/>
      <c r="I1482" s="17"/>
      <c r="J1482" s="17"/>
      <c r="K1482" s="17"/>
      <c r="L1482" s="17"/>
    </row>
    <row r="1483">
      <c r="A1483" s="11" t="str">
        <f t="shared" si="1"/>
        <v/>
      </c>
      <c r="B1483" s="16"/>
      <c r="C1483" s="16"/>
      <c r="D1483" s="16"/>
      <c r="E1483" s="16"/>
      <c r="F1483" s="17"/>
      <c r="G1483" s="17"/>
      <c r="H1483" s="17"/>
      <c r="I1483" s="17"/>
      <c r="J1483" s="17"/>
      <c r="K1483" s="17"/>
      <c r="L1483" s="17"/>
    </row>
    <row r="1484">
      <c r="A1484" s="11" t="str">
        <f t="shared" si="1"/>
        <v/>
      </c>
      <c r="B1484" s="16"/>
      <c r="C1484" s="16"/>
      <c r="D1484" s="16"/>
      <c r="E1484" s="16"/>
      <c r="F1484" s="17"/>
      <c r="G1484" s="17"/>
      <c r="H1484" s="17"/>
      <c r="I1484" s="17"/>
      <c r="J1484" s="17"/>
      <c r="K1484" s="17"/>
      <c r="L1484" s="17"/>
    </row>
    <row r="1485">
      <c r="A1485" s="11" t="str">
        <f t="shared" si="1"/>
        <v/>
      </c>
      <c r="B1485" s="16"/>
      <c r="C1485" s="16"/>
      <c r="D1485" s="16"/>
      <c r="E1485" s="16"/>
      <c r="F1485" s="17"/>
      <c r="G1485" s="17"/>
      <c r="H1485" s="17"/>
      <c r="I1485" s="17"/>
      <c r="J1485" s="17"/>
      <c r="K1485" s="17"/>
      <c r="L1485" s="17"/>
    </row>
    <row r="1486">
      <c r="A1486" s="11" t="str">
        <f t="shared" si="1"/>
        <v/>
      </c>
      <c r="B1486" s="16"/>
      <c r="C1486" s="16"/>
      <c r="D1486" s="16"/>
      <c r="E1486" s="16"/>
      <c r="F1486" s="17"/>
      <c r="G1486" s="17"/>
      <c r="H1486" s="17"/>
      <c r="I1486" s="17"/>
      <c r="J1486" s="17"/>
      <c r="K1486" s="17"/>
      <c r="L1486" s="17"/>
    </row>
    <row r="1487">
      <c r="A1487" s="11" t="str">
        <f t="shared" si="1"/>
        <v/>
      </c>
      <c r="B1487" s="16"/>
      <c r="C1487" s="16"/>
      <c r="D1487" s="16"/>
      <c r="E1487" s="16"/>
      <c r="F1487" s="17"/>
      <c r="G1487" s="17"/>
      <c r="H1487" s="17"/>
      <c r="I1487" s="17"/>
      <c r="J1487" s="17"/>
      <c r="K1487" s="17"/>
      <c r="L1487" s="17"/>
    </row>
    <row r="1488">
      <c r="A1488" s="11" t="str">
        <f t="shared" si="1"/>
        <v/>
      </c>
      <c r="B1488" s="16"/>
      <c r="C1488" s="16"/>
      <c r="D1488" s="16"/>
      <c r="E1488" s="16"/>
      <c r="F1488" s="17"/>
      <c r="G1488" s="17"/>
      <c r="H1488" s="17"/>
      <c r="I1488" s="17"/>
      <c r="J1488" s="17"/>
      <c r="K1488" s="17"/>
      <c r="L1488" s="17"/>
    </row>
    <row r="1489">
      <c r="A1489" s="11" t="str">
        <f t="shared" si="1"/>
        <v/>
      </c>
      <c r="B1489" s="16"/>
      <c r="C1489" s="16"/>
      <c r="D1489" s="16"/>
      <c r="E1489" s="16"/>
      <c r="F1489" s="17"/>
      <c r="G1489" s="17"/>
      <c r="H1489" s="17"/>
      <c r="I1489" s="17"/>
      <c r="J1489" s="17"/>
      <c r="K1489" s="17"/>
      <c r="L1489" s="17"/>
    </row>
    <row r="1490">
      <c r="A1490" s="11" t="str">
        <f t="shared" si="1"/>
        <v/>
      </c>
      <c r="B1490" s="16"/>
      <c r="C1490" s="16"/>
      <c r="D1490" s="16"/>
      <c r="E1490" s="16"/>
      <c r="F1490" s="17"/>
      <c r="G1490" s="17"/>
      <c r="H1490" s="17"/>
      <c r="I1490" s="17"/>
      <c r="J1490" s="17"/>
      <c r="K1490" s="17"/>
      <c r="L1490" s="17"/>
    </row>
    <row r="1491">
      <c r="A1491" s="11" t="str">
        <f t="shared" si="1"/>
        <v/>
      </c>
      <c r="B1491" s="16"/>
      <c r="C1491" s="16"/>
      <c r="D1491" s="16"/>
      <c r="E1491" s="16"/>
      <c r="F1491" s="17"/>
      <c r="G1491" s="17"/>
      <c r="H1491" s="17"/>
      <c r="I1491" s="17"/>
      <c r="J1491" s="17"/>
      <c r="K1491" s="17"/>
      <c r="L1491" s="17"/>
    </row>
    <row r="1492">
      <c r="A1492" s="11" t="str">
        <f t="shared" si="1"/>
        <v/>
      </c>
      <c r="B1492" s="16"/>
      <c r="C1492" s="16"/>
      <c r="D1492" s="16"/>
      <c r="E1492" s="16"/>
      <c r="F1492" s="17"/>
      <c r="G1492" s="17"/>
      <c r="H1492" s="17"/>
      <c r="I1492" s="17"/>
      <c r="J1492" s="17"/>
      <c r="K1492" s="17"/>
      <c r="L1492" s="17"/>
    </row>
    <row r="1493">
      <c r="A1493" s="11" t="str">
        <f t="shared" si="1"/>
        <v/>
      </c>
      <c r="B1493" s="16"/>
      <c r="C1493" s="16"/>
      <c r="D1493" s="16"/>
      <c r="E1493" s="16"/>
      <c r="F1493" s="17"/>
      <c r="G1493" s="17"/>
      <c r="H1493" s="17"/>
      <c r="I1493" s="17"/>
      <c r="J1493" s="17"/>
      <c r="K1493" s="17"/>
      <c r="L1493" s="17"/>
    </row>
    <row r="1494">
      <c r="A1494" s="11" t="str">
        <f t="shared" si="1"/>
        <v/>
      </c>
      <c r="B1494" s="16"/>
      <c r="C1494" s="16"/>
      <c r="D1494" s="16"/>
      <c r="E1494" s="16"/>
      <c r="F1494" s="17"/>
      <c r="G1494" s="17"/>
      <c r="H1494" s="17"/>
      <c r="I1494" s="17"/>
      <c r="J1494" s="17"/>
      <c r="K1494" s="17"/>
      <c r="L1494" s="17"/>
    </row>
    <row r="1495">
      <c r="A1495" s="11" t="str">
        <f t="shared" si="1"/>
        <v/>
      </c>
      <c r="B1495" s="16"/>
      <c r="C1495" s="16"/>
      <c r="D1495" s="16"/>
      <c r="E1495" s="16"/>
      <c r="F1495" s="17"/>
      <c r="G1495" s="17"/>
      <c r="H1495" s="17"/>
      <c r="I1495" s="17"/>
      <c r="J1495" s="17"/>
      <c r="K1495" s="17"/>
      <c r="L1495" s="17"/>
    </row>
    <row r="1496">
      <c r="A1496" s="11" t="str">
        <f t="shared" si="1"/>
        <v/>
      </c>
      <c r="B1496" s="16"/>
      <c r="C1496" s="16"/>
      <c r="D1496" s="16"/>
      <c r="E1496" s="16"/>
      <c r="F1496" s="17"/>
      <c r="G1496" s="17"/>
      <c r="H1496" s="17"/>
      <c r="I1496" s="17"/>
      <c r="J1496" s="17"/>
      <c r="K1496" s="17"/>
      <c r="L1496" s="17"/>
    </row>
    <row r="1497">
      <c r="A1497" s="11" t="str">
        <f t="shared" si="1"/>
        <v/>
      </c>
      <c r="B1497" s="16"/>
      <c r="C1497" s="16"/>
      <c r="D1497" s="16"/>
      <c r="E1497" s="16"/>
      <c r="F1497" s="17"/>
      <c r="G1497" s="17"/>
      <c r="H1497" s="17"/>
      <c r="I1497" s="17"/>
      <c r="J1497" s="17"/>
      <c r="K1497" s="17"/>
      <c r="L1497" s="17"/>
    </row>
    <row r="1498">
      <c r="A1498" s="11" t="str">
        <f t="shared" si="1"/>
        <v/>
      </c>
      <c r="B1498" s="16"/>
      <c r="C1498" s="16"/>
      <c r="D1498" s="16"/>
      <c r="E1498" s="16"/>
      <c r="F1498" s="17"/>
      <c r="G1498" s="17"/>
      <c r="H1498" s="17"/>
      <c r="I1498" s="17"/>
      <c r="J1498" s="17"/>
      <c r="K1498" s="17"/>
      <c r="L1498" s="17"/>
    </row>
    <row r="1499">
      <c r="A1499" s="11" t="str">
        <f t="shared" si="1"/>
        <v/>
      </c>
      <c r="B1499" s="16"/>
      <c r="C1499" s="16"/>
      <c r="D1499" s="16"/>
      <c r="E1499" s="16"/>
      <c r="F1499" s="17"/>
      <c r="G1499" s="17"/>
      <c r="H1499" s="17"/>
      <c r="I1499" s="17"/>
      <c r="J1499" s="17"/>
      <c r="K1499" s="17"/>
      <c r="L1499" s="17"/>
    </row>
    <row r="1500">
      <c r="A1500" s="11" t="str">
        <f t="shared" si="1"/>
        <v/>
      </c>
      <c r="B1500" s="16"/>
      <c r="C1500" s="16"/>
      <c r="D1500" s="16"/>
      <c r="E1500" s="16"/>
      <c r="F1500" s="17"/>
      <c r="G1500" s="17"/>
      <c r="H1500" s="17"/>
      <c r="I1500" s="17"/>
      <c r="J1500" s="17"/>
      <c r="K1500" s="17"/>
      <c r="L1500" s="17"/>
    </row>
    <row r="1501">
      <c r="A1501" s="11" t="str">
        <f t="shared" si="1"/>
        <v/>
      </c>
      <c r="B1501" s="16"/>
      <c r="C1501" s="16"/>
      <c r="D1501" s="16"/>
      <c r="E1501" s="16"/>
      <c r="F1501" s="17"/>
      <c r="G1501" s="17"/>
      <c r="H1501" s="17"/>
      <c r="I1501" s="17"/>
      <c r="J1501" s="17"/>
      <c r="K1501" s="17"/>
      <c r="L1501" s="17"/>
    </row>
    <row r="1502">
      <c r="A1502" s="11" t="str">
        <f t="shared" si="1"/>
        <v/>
      </c>
      <c r="B1502" s="16"/>
      <c r="C1502" s="16"/>
      <c r="D1502" s="16"/>
      <c r="E1502" s="16"/>
      <c r="F1502" s="17"/>
      <c r="G1502" s="17"/>
      <c r="H1502" s="17"/>
      <c r="I1502" s="17"/>
      <c r="J1502" s="17"/>
      <c r="K1502" s="17"/>
      <c r="L1502" s="17"/>
    </row>
    <row r="1503">
      <c r="A1503" s="11" t="str">
        <f t="shared" si="1"/>
        <v/>
      </c>
      <c r="B1503" s="16"/>
      <c r="C1503" s="16"/>
      <c r="D1503" s="16"/>
      <c r="E1503" s="16"/>
      <c r="F1503" s="17"/>
      <c r="G1503" s="17"/>
      <c r="H1503" s="17"/>
      <c r="I1503" s="17"/>
      <c r="J1503" s="17"/>
      <c r="K1503" s="17"/>
      <c r="L1503" s="17"/>
    </row>
    <row r="1504">
      <c r="A1504" s="11" t="str">
        <f t="shared" si="1"/>
        <v/>
      </c>
      <c r="B1504" s="16"/>
      <c r="C1504" s="16"/>
      <c r="D1504" s="16"/>
      <c r="E1504" s="16"/>
      <c r="F1504" s="17"/>
      <c r="G1504" s="17"/>
      <c r="H1504" s="17"/>
      <c r="I1504" s="17"/>
      <c r="J1504" s="17"/>
      <c r="K1504" s="17"/>
      <c r="L1504" s="17"/>
    </row>
    <row r="1505">
      <c r="A1505" s="11" t="str">
        <f t="shared" si="1"/>
        <v/>
      </c>
      <c r="B1505" s="16"/>
      <c r="C1505" s="16"/>
      <c r="D1505" s="16"/>
      <c r="E1505" s="16"/>
      <c r="F1505" s="17"/>
      <c r="G1505" s="17"/>
      <c r="H1505" s="17"/>
      <c r="I1505" s="17"/>
      <c r="J1505" s="17"/>
      <c r="K1505" s="17"/>
      <c r="L1505" s="17"/>
    </row>
    <row r="1506">
      <c r="A1506" s="11" t="str">
        <f t="shared" si="1"/>
        <v/>
      </c>
      <c r="B1506" s="16"/>
      <c r="C1506" s="16"/>
      <c r="D1506" s="16"/>
      <c r="E1506" s="16"/>
      <c r="F1506" s="17"/>
      <c r="G1506" s="17"/>
      <c r="H1506" s="17"/>
      <c r="I1506" s="17"/>
      <c r="J1506" s="17"/>
      <c r="K1506" s="17"/>
      <c r="L1506" s="17"/>
    </row>
    <row r="1507">
      <c r="A1507" s="11" t="str">
        <f t="shared" si="1"/>
        <v/>
      </c>
      <c r="B1507" s="16"/>
      <c r="C1507" s="16"/>
      <c r="D1507" s="16"/>
      <c r="E1507" s="16"/>
      <c r="F1507" s="17"/>
      <c r="G1507" s="17"/>
      <c r="H1507" s="17"/>
      <c r="I1507" s="17"/>
      <c r="J1507" s="17"/>
      <c r="K1507" s="17"/>
      <c r="L1507" s="17"/>
    </row>
    <row r="1508">
      <c r="A1508" s="11" t="str">
        <f t="shared" si="1"/>
        <v/>
      </c>
      <c r="B1508" s="16"/>
      <c r="C1508" s="16"/>
      <c r="D1508" s="16"/>
      <c r="E1508" s="16"/>
      <c r="F1508" s="17"/>
      <c r="G1508" s="17"/>
      <c r="H1508" s="17"/>
      <c r="I1508" s="17"/>
      <c r="J1508" s="17"/>
      <c r="K1508" s="17"/>
      <c r="L1508" s="17"/>
    </row>
    <row r="1509">
      <c r="A1509" s="11" t="str">
        <f t="shared" si="1"/>
        <v/>
      </c>
      <c r="B1509" s="16"/>
      <c r="C1509" s="16"/>
      <c r="D1509" s="16"/>
      <c r="E1509" s="16"/>
      <c r="F1509" s="17"/>
      <c r="G1509" s="17"/>
      <c r="H1509" s="17"/>
      <c r="I1509" s="17"/>
      <c r="J1509" s="17"/>
      <c r="K1509" s="17"/>
      <c r="L1509" s="17"/>
    </row>
    <row r="1510">
      <c r="A1510" s="11" t="str">
        <f t="shared" si="1"/>
        <v/>
      </c>
      <c r="B1510" s="16"/>
      <c r="C1510" s="16"/>
      <c r="D1510" s="16"/>
      <c r="E1510" s="16"/>
      <c r="F1510" s="17"/>
      <c r="G1510" s="17"/>
      <c r="H1510" s="17"/>
      <c r="I1510" s="17"/>
      <c r="J1510" s="17"/>
      <c r="K1510" s="17"/>
      <c r="L1510" s="17"/>
    </row>
    <row r="1511">
      <c r="A1511" s="11" t="str">
        <f t="shared" si="1"/>
        <v/>
      </c>
      <c r="B1511" s="16"/>
      <c r="C1511" s="16"/>
      <c r="D1511" s="16"/>
      <c r="E1511" s="16"/>
      <c r="F1511" s="17"/>
      <c r="G1511" s="17"/>
      <c r="H1511" s="17"/>
      <c r="I1511" s="17"/>
      <c r="J1511" s="17"/>
      <c r="K1511" s="17"/>
      <c r="L1511" s="17"/>
    </row>
    <row r="1512">
      <c r="A1512" s="11" t="str">
        <f t="shared" si="1"/>
        <v/>
      </c>
      <c r="B1512" s="16"/>
      <c r="C1512" s="16"/>
      <c r="D1512" s="16"/>
      <c r="E1512" s="16"/>
      <c r="F1512" s="17"/>
      <c r="G1512" s="17"/>
      <c r="H1512" s="17"/>
      <c r="I1512" s="17"/>
      <c r="J1512" s="17"/>
      <c r="K1512" s="17"/>
      <c r="L1512" s="17"/>
    </row>
    <row r="1513">
      <c r="A1513" s="11" t="str">
        <f t="shared" si="1"/>
        <v/>
      </c>
      <c r="B1513" s="16"/>
      <c r="C1513" s="16"/>
      <c r="D1513" s="16"/>
      <c r="E1513" s="16"/>
      <c r="F1513" s="17"/>
      <c r="G1513" s="17"/>
      <c r="H1513" s="17"/>
      <c r="I1513" s="17"/>
      <c r="J1513" s="17"/>
      <c r="K1513" s="17"/>
      <c r="L1513" s="17"/>
    </row>
    <row r="1514">
      <c r="A1514" s="11" t="str">
        <f t="shared" si="1"/>
        <v/>
      </c>
      <c r="B1514" s="16"/>
      <c r="C1514" s="16"/>
      <c r="D1514" s="16"/>
      <c r="E1514" s="16"/>
      <c r="F1514" s="17"/>
      <c r="G1514" s="17"/>
      <c r="H1514" s="17"/>
      <c r="I1514" s="17"/>
      <c r="J1514" s="17"/>
      <c r="K1514" s="17"/>
      <c r="L1514" s="17"/>
    </row>
    <row r="1515">
      <c r="A1515" s="11" t="str">
        <f t="shared" si="1"/>
        <v/>
      </c>
      <c r="B1515" s="16"/>
      <c r="C1515" s="16"/>
      <c r="D1515" s="16"/>
      <c r="E1515" s="16"/>
      <c r="F1515" s="17"/>
      <c r="G1515" s="17"/>
      <c r="H1515" s="17"/>
      <c r="I1515" s="17"/>
      <c r="J1515" s="17"/>
      <c r="K1515" s="17"/>
      <c r="L1515" s="17"/>
    </row>
    <row r="1516">
      <c r="A1516" s="11" t="str">
        <f t="shared" si="1"/>
        <v/>
      </c>
      <c r="B1516" s="16"/>
      <c r="C1516" s="16"/>
      <c r="D1516" s="16"/>
      <c r="E1516" s="16"/>
      <c r="F1516" s="17"/>
      <c r="G1516" s="17"/>
      <c r="H1516" s="17"/>
      <c r="I1516" s="17"/>
      <c r="J1516" s="17"/>
      <c r="K1516" s="17"/>
      <c r="L1516" s="17"/>
    </row>
    <row r="1517">
      <c r="A1517" s="11" t="str">
        <f t="shared" si="1"/>
        <v/>
      </c>
      <c r="B1517" s="16"/>
      <c r="C1517" s="16"/>
      <c r="D1517" s="16"/>
      <c r="E1517" s="16"/>
      <c r="F1517" s="17"/>
      <c r="G1517" s="17"/>
      <c r="H1517" s="17"/>
      <c r="I1517" s="17"/>
      <c r="J1517" s="17"/>
      <c r="K1517" s="17"/>
      <c r="L1517" s="17"/>
    </row>
    <row r="1518">
      <c r="A1518" s="11" t="str">
        <f t="shared" si="1"/>
        <v/>
      </c>
      <c r="B1518" s="16"/>
      <c r="C1518" s="16"/>
      <c r="D1518" s="16"/>
      <c r="E1518" s="16"/>
      <c r="F1518" s="17"/>
      <c r="G1518" s="17"/>
      <c r="H1518" s="17"/>
      <c r="I1518" s="17"/>
      <c r="J1518" s="17"/>
      <c r="K1518" s="17"/>
      <c r="L1518" s="17"/>
    </row>
    <row r="1519">
      <c r="A1519" s="11" t="str">
        <f t="shared" si="1"/>
        <v/>
      </c>
      <c r="B1519" s="16"/>
      <c r="C1519" s="16"/>
      <c r="D1519" s="16"/>
      <c r="E1519" s="16"/>
      <c r="F1519" s="17"/>
      <c r="G1519" s="17"/>
      <c r="H1519" s="17"/>
      <c r="I1519" s="17"/>
      <c r="J1519" s="17"/>
      <c r="K1519" s="17"/>
      <c r="L1519" s="17"/>
    </row>
    <row r="1520">
      <c r="A1520" s="11" t="str">
        <f t="shared" si="1"/>
        <v/>
      </c>
      <c r="B1520" s="16"/>
      <c r="C1520" s="16"/>
      <c r="D1520" s="16"/>
      <c r="E1520" s="16"/>
      <c r="F1520" s="17"/>
      <c r="G1520" s="17"/>
      <c r="H1520" s="17"/>
      <c r="I1520" s="17"/>
      <c r="J1520" s="17"/>
      <c r="K1520" s="17"/>
      <c r="L1520" s="17"/>
    </row>
    <row r="1521">
      <c r="A1521" s="11" t="str">
        <f t="shared" si="1"/>
        <v/>
      </c>
      <c r="B1521" s="16"/>
      <c r="C1521" s="16"/>
      <c r="D1521" s="16"/>
      <c r="E1521" s="16"/>
      <c r="F1521" s="17"/>
      <c r="G1521" s="17"/>
      <c r="H1521" s="17"/>
      <c r="I1521" s="17"/>
      <c r="J1521" s="17"/>
      <c r="K1521" s="17"/>
      <c r="L1521" s="17"/>
    </row>
    <row r="1522">
      <c r="A1522" s="11" t="str">
        <f t="shared" si="1"/>
        <v/>
      </c>
      <c r="B1522" s="16"/>
      <c r="C1522" s="16"/>
      <c r="D1522" s="16"/>
      <c r="E1522" s="16"/>
      <c r="F1522" s="17"/>
      <c r="G1522" s="17"/>
      <c r="H1522" s="17"/>
      <c r="I1522" s="17"/>
      <c r="J1522" s="17"/>
      <c r="K1522" s="17"/>
      <c r="L1522" s="17"/>
    </row>
    <row r="1523">
      <c r="A1523" s="11" t="str">
        <f t="shared" si="1"/>
        <v/>
      </c>
      <c r="B1523" s="16"/>
      <c r="C1523" s="16"/>
      <c r="D1523" s="16"/>
      <c r="E1523" s="16"/>
      <c r="F1523" s="17"/>
      <c r="G1523" s="17"/>
      <c r="H1523" s="17"/>
      <c r="I1523" s="17"/>
      <c r="J1523" s="17"/>
      <c r="K1523" s="17"/>
      <c r="L1523" s="17"/>
    </row>
    <row r="1524">
      <c r="A1524" s="11" t="str">
        <f t="shared" si="1"/>
        <v/>
      </c>
      <c r="B1524" s="16"/>
      <c r="C1524" s="16"/>
      <c r="D1524" s="16"/>
      <c r="E1524" s="16"/>
      <c r="F1524" s="17"/>
      <c r="G1524" s="17"/>
      <c r="H1524" s="17"/>
      <c r="I1524" s="17"/>
      <c r="J1524" s="17"/>
      <c r="K1524" s="17"/>
      <c r="L1524" s="17"/>
    </row>
    <row r="1525">
      <c r="A1525" s="11" t="str">
        <f t="shared" si="1"/>
        <v/>
      </c>
      <c r="B1525" s="16"/>
      <c r="C1525" s="16"/>
      <c r="D1525" s="16"/>
      <c r="E1525" s="16"/>
      <c r="F1525" s="17"/>
      <c r="G1525" s="17"/>
      <c r="H1525" s="17"/>
      <c r="I1525" s="17"/>
      <c r="J1525" s="17"/>
      <c r="K1525" s="17"/>
      <c r="L1525" s="17"/>
    </row>
    <row r="1526">
      <c r="A1526" s="11" t="str">
        <f t="shared" si="1"/>
        <v/>
      </c>
      <c r="B1526" s="16"/>
      <c r="C1526" s="16"/>
      <c r="D1526" s="16"/>
      <c r="E1526" s="16"/>
      <c r="F1526" s="17"/>
      <c r="G1526" s="17"/>
      <c r="H1526" s="17"/>
      <c r="I1526" s="17"/>
      <c r="J1526" s="17"/>
      <c r="K1526" s="17"/>
      <c r="L1526" s="17"/>
    </row>
    <row r="1527">
      <c r="A1527" s="11" t="str">
        <f t="shared" si="1"/>
        <v/>
      </c>
      <c r="B1527" s="16"/>
      <c r="C1527" s="16"/>
      <c r="D1527" s="16"/>
      <c r="E1527" s="16"/>
      <c r="F1527" s="17"/>
      <c r="G1527" s="17"/>
      <c r="H1527" s="17"/>
      <c r="I1527" s="17"/>
      <c r="J1527" s="17"/>
      <c r="K1527" s="17"/>
      <c r="L1527" s="17"/>
    </row>
    <row r="1528">
      <c r="A1528" s="11" t="str">
        <f t="shared" si="1"/>
        <v/>
      </c>
      <c r="B1528" s="16"/>
      <c r="C1528" s="16"/>
      <c r="D1528" s="16"/>
      <c r="E1528" s="16"/>
      <c r="F1528" s="17"/>
      <c r="G1528" s="17"/>
      <c r="H1528" s="17"/>
      <c r="I1528" s="17"/>
      <c r="J1528" s="17"/>
      <c r="K1528" s="17"/>
      <c r="L1528" s="17"/>
    </row>
    <row r="1529">
      <c r="A1529" s="11" t="str">
        <f t="shared" si="1"/>
        <v/>
      </c>
      <c r="B1529" s="16"/>
      <c r="C1529" s="16"/>
      <c r="D1529" s="16"/>
      <c r="E1529" s="16"/>
      <c r="F1529" s="17"/>
      <c r="G1529" s="17"/>
      <c r="H1529" s="17"/>
      <c r="I1529" s="17"/>
      <c r="J1529" s="17"/>
      <c r="K1529" s="17"/>
      <c r="L1529" s="17"/>
    </row>
    <row r="1530">
      <c r="A1530" s="11" t="str">
        <f t="shared" si="1"/>
        <v/>
      </c>
      <c r="B1530" s="16"/>
      <c r="C1530" s="16"/>
      <c r="D1530" s="16"/>
      <c r="E1530" s="16"/>
      <c r="F1530" s="17"/>
      <c r="G1530" s="17"/>
      <c r="H1530" s="17"/>
      <c r="I1530" s="17"/>
      <c r="J1530" s="17"/>
      <c r="K1530" s="17"/>
      <c r="L1530" s="17"/>
    </row>
    <row r="1531">
      <c r="A1531" s="11" t="str">
        <f t="shared" si="1"/>
        <v/>
      </c>
      <c r="B1531" s="16"/>
      <c r="C1531" s="16"/>
      <c r="D1531" s="16"/>
      <c r="E1531" s="16"/>
      <c r="F1531" s="17"/>
      <c r="G1531" s="17"/>
      <c r="H1531" s="17"/>
      <c r="I1531" s="17"/>
      <c r="J1531" s="17"/>
      <c r="K1531" s="17"/>
      <c r="L1531" s="17"/>
    </row>
    <row r="1532">
      <c r="A1532" s="11" t="str">
        <f t="shared" si="1"/>
        <v/>
      </c>
      <c r="B1532" s="16"/>
      <c r="C1532" s="16"/>
      <c r="D1532" s="16"/>
      <c r="E1532" s="16"/>
      <c r="F1532" s="17"/>
      <c r="G1532" s="17"/>
      <c r="H1532" s="17"/>
      <c r="I1532" s="17"/>
      <c r="J1532" s="17"/>
      <c r="K1532" s="17"/>
      <c r="L1532" s="17"/>
    </row>
    <row r="1533">
      <c r="A1533" s="11" t="str">
        <f t="shared" si="1"/>
        <v/>
      </c>
      <c r="B1533" s="16"/>
      <c r="C1533" s="16"/>
      <c r="D1533" s="16"/>
      <c r="E1533" s="16"/>
      <c r="F1533" s="17"/>
      <c r="G1533" s="17"/>
      <c r="H1533" s="17"/>
      <c r="I1533" s="17"/>
      <c r="J1533" s="17"/>
      <c r="K1533" s="17"/>
      <c r="L1533" s="17"/>
    </row>
    <row r="1534">
      <c r="A1534" s="11" t="str">
        <f t="shared" si="1"/>
        <v/>
      </c>
      <c r="B1534" s="16"/>
      <c r="C1534" s="16"/>
      <c r="D1534" s="16"/>
      <c r="E1534" s="16"/>
      <c r="F1534" s="17"/>
      <c r="G1534" s="17"/>
      <c r="H1534" s="17"/>
      <c r="I1534" s="17"/>
      <c r="J1534" s="17"/>
      <c r="K1534" s="17"/>
      <c r="L1534" s="17"/>
    </row>
    <row r="1535">
      <c r="A1535" s="11" t="str">
        <f t="shared" si="1"/>
        <v/>
      </c>
      <c r="B1535" s="16"/>
      <c r="C1535" s="16"/>
      <c r="D1535" s="16"/>
      <c r="E1535" s="16"/>
      <c r="F1535" s="17"/>
      <c r="G1535" s="17"/>
      <c r="H1535" s="17"/>
      <c r="I1535" s="17"/>
      <c r="J1535" s="17"/>
      <c r="K1535" s="17"/>
      <c r="L1535" s="17"/>
    </row>
    <row r="1536">
      <c r="A1536" s="11" t="str">
        <f t="shared" si="1"/>
        <v/>
      </c>
      <c r="B1536" s="16"/>
      <c r="C1536" s="16"/>
      <c r="D1536" s="16"/>
      <c r="E1536" s="16"/>
      <c r="F1536" s="17"/>
      <c r="G1536" s="17"/>
      <c r="H1536" s="17"/>
      <c r="I1536" s="17"/>
      <c r="J1536" s="17"/>
      <c r="K1536" s="17"/>
      <c r="L1536" s="17"/>
    </row>
    <row r="1537">
      <c r="A1537" s="11" t="str">
        <f t="shared" si="1"/>
        <v/>
      </c>
      <c r="B1537" s="16"/>
      <c r="C1537" s="16"/>
      <c r="D1537" s="16"/>
      <c r="E1537" s="16"/>
      <c r="F1537" s="17"/>
      <c r="G1537" s="17"/>
      <c r="H1537" s="17"/>
      <c r="I1537" s="17"/>
      <c r="J1537" s="17"/>
      <c r="K1537" s="17"/>
      <c r="L1537" s="17"/>
    </row>
    <row r="1538">
      <c r="A1538" s="11" t="str">
        <f t="shared" si="1"/>
        <v/>
      </c>
      <c r="B1538" s="16"/>
      <c r="C1538" s="16"/>
      <c r="D1538" s="16"/>
      <c r="E1538" s="16"/>
      <c r="F1538" s="17"/>
      <c r="G1538" s="17"/>
      <c r="H1538" s="17"/>
      <c r="I1538" s="17"/>
      <c r="J1538" s="17"/>
      <c r="K1538" s="17"/>
      <c r="L1538" s="17"/>
    </row>
    <row r="1539">
      <c r="A1539" s="11" t="str">
        <f t="shared" si="1"/>
        <v/>
      </c>
      <c r="B1539" s="16"/>
      <c r="C1539" s="16"/>
      <c r="D1539" s="16"/>
      <c r="E1539" s="16"/>
      <c r="F1539" s="17"/>
      <c r="G1539" s="17"/>
      <c r="H1539" s="17"/>
      <c r="I1539" s="17"/>
      <c r="J1539" s="17"/>
      <c r="K1539" s="17"/>
      <c r="L1539" s="17"/>
    </row>
    <row r="1540">
      <c r="A1540" s="11" t="str">
        <f t="shared" si="1"/>
        <v/>
      </c>
      <c r="B1540" s="16"/>
      <c r="C1540" s="16"/>
      <c r="D1540" s="16"/>
      <c r="E1540" s="16"/>
      <c r="F1540" s="17"/>
      <c r="G1540" s="17"/>
      <c r="H1540" s="17"/>
      <c r="I1540" s="17"/>
      <c r="J1540" s="17"/>
      <c r="K1540" s="17"/>
      <c r="L1540" s="17"/>
    </row>
    <row r="1541">
      <c r="A1541" s="11" t="str">
        <f t="shared" si="1"/>
        <v/>
      </c>
      <c r="B1541" s="16"/>
      <c r="C1541" s="16"/>
      <c r="D1541" s="16"/>
      <c r="E1541" s="16"/>
      <c r="F1541" s="17"/>
      <c r="G1541" s="17"/>
      <c r="H1541" s="17"/>
      <c r="I1541" s="17"/>
      <c r="J1541" s="17"/>
      <c r="K1541" s="17"/>
      <c r="L1541" s="17"/>
    </row>
    <row r="1542">
      <c r="A1542" s="11" t="str">
        <f t="shared" si="1"/>
        <v/>
      </c>
      <c r="B1542" s="16"/>
      <c r="C1542" s="16"/>
      <c r="D1542" s="16"/>
      <c r="E1542" s="16"/>
      <c r="F1542" s="17"/>
      <c r="G1542" s="17"/>
      <c r="H1542" s="17"/>
      <c r="I1542" s="17"/>
      <c r="J1542" s="17"/>
      <c r="K1542" s="17"/>
      <c r="L1542" s="17"/>
    </row>
    <row r="1543">
      <c r="A1543" s="11" t="str">
        <f t="shared" si="1"/>
        <v/>
      </c>
      <c r="B1543" s="16"/>
      <c r="C1543" s="16"/>
      <c r="D1543" s="16"/>
      <c r="E1543" s="16"/>
      <c r="F1543" s="17"/>
      <c r="G1543" s="17"/>
      <c r="H1543" s="17"/>
      <c r="I1543" s="17"/>
      <c r="J1543" s="17"/>
      <c r="K1543" s="17"/>
      <c r="L1543" s="17"/>
    </row>
    <row r="1544">
      <c r="A1544" s="11" t="str">
        <f t="shared" si="1"/>
        <v/>
      </c>
      <c r="B1544" s="16"/>
      <c r="C1544" s="16"/>
      <c r="D1544" s="16"/>
      <c r="E1544" s="16"/>
      <c r="F1544" s="17"/>
      <c r="G1544" s="17"/>
      <c r="H1544" s="17"/>
      <c r="I1544" s="17"/>
      <c r="J1544" s="17"/>
      <c r="K1544" s="17"/>
      <c r="L1544" s="17"/>
    </row>
    <row r="1545">
      <c r="A1545" s="11" t="str">
        <f t="shared" si="1"/>
        <v/>
      </c>
      <c r="B1545" s="16"/>
      <c r="C1545" s="16"/>
      <c r="D1545" s="16"/>
      <c r="E1545" s="16"/>
      <c r="F1545" s="17"/>
      <c r="G1545" s="17"/>
      <c r="H1545" s="17"/>
      <c r="I1545" s="17"/>
      <c r="J1545" s="17"/>
      <c r="K1545" s="17"/>
      <c r="L1545" s="17"/>
    </row>
    <row r="1546">
      <c r="A1546" s="11" t="str">
        <f t="shared" si="1"/>
        <v/>
      </c>
      <c r="B1546" s="16"/>
      <c r="C1546" s="16"/>
      <c r="D1546" s="16"/>
      <c r="E1546" s="16"/>
      <c r="F1546" s="17"/>
      <c r="G1546" s="17"/>
      <c r="H1546" s="17"/>
      <c r="I1546" s="17"/>
      <c r="J1546" s="17"/>
      <c r="K1546" s="17"/>
      <c r="L1546" s="17"/>
    </row>
    <row r="1547">
      <c r="A1547" s="11" t="str">
        <f t="shared" si="1"/>
        <v/>
      </c>
      <c r="B1547" s="16"/>
      <c r="C1547" s="16"/>
      <c r="D1547" s="16"/>
      <c r="E1547" s="16"/>
      <c r="F1547" s="17"/>
      <c r="G1547" s="17"/>
      <c r="H1547" s="17"/>
      <c r="I1547" s="17"/>
      <c r="J1547" s="17"/>
      <c r="K1547" s="17"/>
      <c r="L1547" s="17"/>
    </row>
    <row r="1548">
      <c r="A1548" s="11" t="str">
        <f t="shared" si="1"/>
        <v/>
      </c>
      <c r="B1548" s="16"/>
      <c r="C1548" s="16"/>
      <c r="D1548" s="16"/>
      <c r="E1548" s="16"/>
      <c r="F1548" s="17"/>
      <c r="G1548" s="17"/>
      <c r="H1548" s="17"/>
      <c r="I1548" s="17"/>
      <c r="J1548" s="17"/>
      <c r="K1548" s="17"/>
      <c r="L1548" s="17"/>
    </row>
    <row r="1549">
      <c r="A1549" s="11" t="str">
        <f t="shared" si="1"/>
        <v/>
      </c>
      <c r="B1549" s="16"/>
      <c r="C1549" s="16"/>
      <c r="D1549" s="16"/>
      <c r="E1549" s="16"/>
      <c r="F1549" s="17"/>
      <c r="G1549" s="17"/>
      <c r="H1549" s="17"/>
      <c r="I1549" s="17"/>
      <c r="J1549" s="17"/>
      <c r="K1549" s="17"/>
      <c r="L1549" s="17"/>
    </row>
    <row r="1550">
      <c r="A1550" s="11" t="str">
        <f t="shared" si="1"/>
        <v/>
      </c>
      <c r="B1550" s="16"/>
      <c r="C1550" s="16"/>
      <c r="D1550" s="16"/>
      <c r="E1550" s="16"/>
      <c r="F1550" s="17"/>
      <c r="G1550" s="17"/>
      <c r="H1550" s="17"/>
      <c r="I1550" s="17"/>
      <c r="J1550" s="17"/>
      <c r="K1550" s="17"/>
      <c r="L1550" s="17"/>
    </row>
    <row r="1551">
      <c r="A1551" s="11" t="str">
        <f t="shared" si="1"/>
        <v/>
      </c>
      <c r="B1551" s="16"/>
      <c r="C1551" s="16"/>
      <c r="D1551" s="16"/>
      <c r="E1551" s="16"/>
      <c r="F1551" s="17"/>
      <c r="G1551" s="17"/>
      <c r="H1551" s="17"/>
      <c r="I1551" s="17"/>
      <c r="J1551" s="17"/>
      <c r="K1551" s="17"/>
      <c r="L1551" s="17"/>
    </row>
    <row r="1552">
      <c r="A1552" s="11" t="str">
        <f t="shared" si="1"/>
        <v/>
      </c>
      <c r="B1552" s="16"/>
      <c r="C1552" s="16"/>
      <c r="D1552" s="16"/>
      <c r="E1552" s="16"/>
      <c r="F1552" s="17"/>
      <c r="G1552" s="17"/>
      <c r="H1552" s="17"/>
      <c r="I1552" s="17"/>
      <c r="J1552" s="17"/>
      <c r="K1552" s="17"/>
      <c r="L1552" s="17"/>
    </row>
    <row r="1553">
      <c r="A1553" s="11" t="str">
        <f t="shared" si="1"/>
        <v/>
      </c>
      <c r="B1553" s="16"/>
      <c r="C1553" s="16"/>
      <c r="D1553" s="16"/>
      <c r="E1553" s="16"/>
      <c r="F1553" s="17"/>
      <c r="G1553" s="17"/>
      <c r="H1553" s="17"/>
      <c r="I1553" s="17"/>
      <c r="J1553" s="17"/>
      <c r="K1553" s="17"/>
      <c r="L1553" s="17"/>
    </row>
    <row r="1554">
      <c r="A1554" s="11" t="str">
        <f t="shared" si="1"/>
        <v/>
      </c>
      <c r="B1554" s="16"/>
      <c r="C1554" s="16"/>
      <c r="D1554" s="16"/>
      <c r="E1554" s="16"/>
      <c r="F1554" s="17"/>
      <c r="G1554" s="17"/>
      <c r="H1554" s="17"/>
      <c r="I1554" s="17"/>
      <c r="J1554" s="17"/>
      <c r="K1554" s="17"/>
      <c r="L1554" s="17"/>
    </row>
    <row r="1555">
      <c r="A1555" s="11" t="str">
        <f t="shared" si="1"/>
        <v/>
      </c>
      <c r="B1555" s="16"/>
      <c r="C1555" s="16"/>
      <c r="D1555" s="16"/>
      <c r="E1555" s="16"/>
      <c r="F1555" s="17"/>
      <c r="G1555" s="17"/>
      <c r="H1555" s="17"/>
      <c r="I1555" s="17"/>
      <c r="J1555" s="17"/>
      <c r="K1555" s="17"/>
      <c r="L1555" s="17"/>
    </row>
    <row r="1556">
      <c r="A1556" s="11" t="str">
        <f t="shared" si="1"/>
        <v/>
      </c>
      <c r="B1556" s="16"/>
      <c r="C1556" s="16"/>
      <c r="D1556" s="16"/>
      <c r="E1556" s="16"/>
      <c r="F1556" s="17"/>
      <c r="G1556" s="17"/>
      <c r="H1556" s="17"/>
      <c r="I1556" s="17"/>
      <c r="J1556" s="17"/>
      <c r="K1556" s="17"/>
      <c r="L1556" s="17"/>
    </row>
    <row r="1557">
      <c r="A1557" s="11" t="str">
        <f t="shared" si="1"/>
        <v/>
      </c>
      <c r="B1557" s="16"/>
      <c r="C1557" s="16"/>
      <c r="D1557" s="16"/>
      <c r="E1557" s="16"/>
      <c r="F1557" s="17"/>
      <c r="G1557" s="17"/>
      <c r="H1557" s="17"/>
      <c r="I1557" s="17"/>
      <c r="J1557" s="17"/>
      <c r="K1557" s="17"/>
      <c r="L1557" s="17"/>
    </row>
    <row r="1558">
      <c r="A1558" s="11" t="str">
        <f t="shared" si="1"/>
        <v/>
      </c>
      <c r="B1558" s="16"/>
      <c r="C1558" s="16"/>
      <c r="D1558" s="16"/>
      <c r="E1558" s="16"/>
      <c r="F1558" s="17"/>
      <c r="G1558" s="17"/>
      <c r="H1558" s="17"/>
      <c r="I1558" s="17"/>
      <c r="J1558" s="17"/>
      <c r="K1558" s="17"/>
      <c r="L1558" s="17"/>
    </row>
    <row r="1559">
      <c r="A1559" s="11" t="str">
        <f t="shared" si="1"/>
        <v/>
      </c>
      <c r="B1559" s="16"/>
      <c r="C1559" s="16"/>
      <c r="D1559" s="16"/>
      <c r="E1559" s="16"/>
      <c r="F1559" s="17"/>
      <c r="G1559" s="17"/>
      <c r="H1559" s="17"/>
      <c r="I1559" s="17"/>
      <c r="J1559" s="17"/>
      <c r="K1559" s="17"/>
      <c r="L1559" s="17"/>
    </row>
    <row r="1560">
      <c r="A1560" s="11" t="str">
        <f t="shared" si="1"/>
        <v/>
      </c>
      <c r="B1560" s="16"/>
      <c r="C1560" s="16"/>
      <c r="D1560" s="16"/>
      <c r="E1560" s="16"/>
      <c r="F1560" s="17"/>
      <c r="G1560" s="17"/>
      <c r="H1560" s="17"/>
      <c r="I1560" s="17"/>
      <c r="J1560" s="17"/>
      <c r="K1560" s="17"/>
      <c r="L1560" s="17"/>
    </row>
    <row r="1561">
      <c r="A1561" s="11" t="str">
        <f t="shared" si="1"/>
        <v/>
      </c>
      <c r="B1561" s="16"/>
      <c r="C1561" s="16"/>
      <c r="D1561" s="16"/>
      <c r="E1561" s="16"/>
      <c r="F1561" s="17"/>
      <c r="G1561" s="17"/>
      <c r="H1561" s="17"/>
      <c r="I1561" s="17"/>
      <c r="J1561" s="17"/>
      <c r="K1561" s="17"/>
      <c r="L1561" s="17"/>
    </row>
    <row r="1562">
      <c r="A1562" s="11" t="str">
        <f t="shared" si="1"/>
        <v/>
      </c>
      <c r="B1562" s="16"/>
      <c r="C1562" s="16"/>
      <c r="D1562" s="16"/>
      <c r="E1562" s="16"/>
      <c r="F1562" s="17"/>
      <c r="G1562" s="17"/>
      <c r="H1562" s="17"/>
      <c r="I1562" s="17"/>
      <c r="J1562" s="17"/>
      <c r="K1562" s="17"/>
      <c r="L1562" s="17"/>
    </row>
    <row r="1563">
      <c r="A1563" s="11" t="str">
        <f t="shared" si="1"/>
        <v/>
      </c>
      <c r="B1563" s="16"/>
      <c r="C1563" s="16"/>
      <c r="D1563" s="16"/>
      <c r="E1563" s="16"/>
      <c r="F1563" s="17"/>
      <c r="G1563" s="17"/>
      <c r="H1563" s="17"/>
      <c r="I1563" s="17"/>
      <c r="J1563" s="17"/>
      <c r="K1563" s="17"/>
      <c r="L1563" s="17"/>
    </row>
    <row r="1564">
      <c r="A1564" s="11" t="str">
        <f t="shared" si="1"/>
        <v/>
      </c>
      <c r="B1564" s="16"/>
      <c r="C1564" s="16"/>
      <c r="D1564" s="16"/>
      <c r="E1564" s="16"/>
      <c r="F1564" s="17"/>
      <c r="G1564" s="17"/>
      <c r="H1564" s="17"/>
      <c r="I1564" s="17"/>
      <c r="J1564" s="17"/>
      <c r="K1564" s="17"/>
      <c r="L1564" s="17"/>
    </row>
    <row r="1565">
      <c r="A1565" s="11" t="str">
        <f t="shared" si="1"/>
        <v/>
      </c>
      <c r="B1565" s="16"/>
      <c r="C1565" s="16"/>
      <c r="D1565" s="16"/>
      <c r="E1565" s="16"/>
      <c r="F1565" s="17"/>
      <c r="G1565" s="17"/>
      <c r="H1565" s="17"/>
      <c r="I1565" s="17"/>
      <c r="J1565" s="17"/>
      <c r="K1565" s="17"/>
      <c r="L1565" s="17"/>
    </row>
    <row r="1566">
      <c r="A1566" s="11" t="str">
        <f t="shared" si="1"/>
        <v/>
      </c>
      <c r="B1566" s="16"/>
      <c r="C1566" s="16"/>
      <c r="D1566" s="16"/>
      <c r="E1566" s="16"/>
      <c r="F1566" s="17"/>
      <c r="G1566" s="17"/>
      <c r="H1566" s="17"/>
      <c r="I1566" s="17"/>
      <c r="J1566" s="17"/>
      <c r="K1566" s="17"/>
      <c r="L1566" s="17"/>
    </row>
    <row r="1567">
      <c r="A1567" s="11" t="str">
        <f t="shared" si="1"/>
        <v/>
      </c>
      <c r="B1567" s="16"/>
      <c r="C1567" s="16"/>
      <c r="D1567" s="16"/>
      <c r="E1567" s="16"/>
      <c r="F1567" s="17"/>
      <c r="G1567" s="17"/>
      <c r="H1567" s="17"/>
      <c r="I1567" s="17"/>
      <c r="J1567" s="17"/>
      <c r="K1567" s="17"/>
      <c r="L1567" s="17"/>
    </row>
    <row r="1568">
      <c r="A1568" s="11" t="str">
        <f t="shared" si="1"/>
        <v/>
      </c>
      <c r="B1568" s="16"/>
      <c r="C1568" s="16"/>
      <c r="D1568" s="16"/>
      <c r="E1568" s="16"/>
      <c r="F1568" s="17"/>
      <c r="G1568" s="17"/>
      <c r="H1568" s="17"/>
      <c r="I1568" s="17"/>
      <c r="J1568" s="17"/>
      <c r="K1568" s="17"/>
      <c r="L1568" s="17"/>
    </row>
    <row r="1569">
      <c r="A1569" s="11" t="str">
        <f t="shared" si="1"/>
        <v/>
      </c>
      <c r="B1569" s="16"/>
      <c r="C1569" s="16"/>
      <c r="D1569" s="16"/>
      <c r="E1569" s="16"/>
      <c r="F1569" s="17"/>
      <c r="G1569" s="17"/>
      <c r="H1569" s="17"/>
      <c r="I1569" s="17"/>
      <c r="J1569" s="17"/>
      <c r="K1569" s="17"/>
      <c r="L1569" s="17"/>
    </row>
    <row r="1570">
      <c r="A1570" s="11" t="str">
        <f t="shared" si="1"/>
        <v/>
      </c>
      <c r="B1570" s="16"/>
      <c r="C1570" s="16"/>
      <c r="D1570" s="16"/>
      <c r="E1570" s="16"/>
      <c r="F1570" s="17"/>
      <c r="G1570" s="17"/>
      <c r="H1570" s="17"/>
      <c r="I1570" s="17"/>
      <c r="J1570" s="17"/>
      <c r="K1570" s="17"/>
      <c r="L1570" s="17"/>
    </row>
    <row r="1571">
      <c r="A1571" s="11" t="str">
        <f t="shared" si="1"/>
        <v/>
      </c>
      <c r="B1571" s="16"/>
      <c r="C1571" s="16"/>
      <c r="D1571" s="16"/>
      <c r="E1571" s="16"/>
      <c r="F1571" s="17"/>
      <c r="G1571" s="17"/>
      <c r="H1571" s="17"/>
      <c r="I1571" s="17"/>
      <c r="J1571" s="17"/>
      <c r="K1571" s="17"/>
      <c r="L1571" s="17"/>
    </row>
    <row r="1572">
      <c r="A1572" s="11" t="str">
        <f t="shared" si="1"/>
        <v/>
      </c>
      <c r="B1572" s="16"/>
      <c r="C1572" s="16"/>
      <c r="D1572" s="16"/>
      <c r="E1572" s="16"/>
      <c r="F1572" s="17"/>
      <c r="G1572" s="17"/>
      <c r="H1572" s="17"/>
      <c r="I1572" s="17"/>
      <c r="J1572" s="17"/>
      <c r="K1572" s="17"/>
      <c r="L1572" s="17"/>
    </row>
    <row r="1573">
      <c r="A1573" s="11" t="str">
        <f t="shared" si="1"/>
        <v/>
      </c>
      <c r="B1573" s="16"/>
      <c r="C1573" s="16"/>
      <c r="D1573" s="16"/>
      <c r="E1573" s="16"/>
      <c r="F1573" s="17"/>
      <c r="G1573" s="17"/>
      <c r="H1573" s="17"/>
      <c r="I1573" s="17"/>
      <c r="J1573" s="17"/>
      <c r="K1573" s="17"/>
      <c r="L1573" s="17"/>
    </row>
    <row r="1574">
      <c r="A1574" s="11" t="str">
        <f t="shared" si="1"/>
        <v/>
      </c>
      <c r="B1574" s="16"/>
      <c r="C1574" s="16"/>
      <c r="D1574" s="16"/>
      <c r="E1574" s="16"/>
      <c r="F1574" s="17"/>
      <c r="G1574" s="17"/>
      <c r="H1574" s="17"/>
      <c r="I1574" s="17"/>
      <c r="J1574" s="17"/>
      <c r="K1574" s="17"/>
      <c r="L1574" s="17"/>
    </row>
    <row r="1575">
      <c r="A1575" s="11" t="str">
        <f t="shared" si="1"/>
        <v/>
      </c>
      <c r="B1575" s="16"/>
      <c r="C1575" s="16"/>
      <c r="D1575" s="16"/>
      <c r="E1575" s="16"/>
      <c r="F1575" s="17"/>
      <c r="G1575" s="17"/>
      <c r="H1575" s="17"/>
      <c r="I1575" s="17"/>
      <c r="J1575" s="17"/>
      <c r="K1575" s="17"/>
      <c r="L1575" s="17"/>
    </row>
    <row r="1576">
      <c r="A1576" s="11" t="str">
        <f t="shared" si="1"/>
        <v/>
      </c>
      <c r="B1576" s="16"/>
      <c r="C1576" s="16"/>
      <c r="D1576" s="16"/>
      <c r="E1576" s="16"/>
      <c r="F1576" s="17"/>
      <c r="G1576" s="17"/>
      <c r="H1576" s="17"/>
      <c r="I1576" s="17"/>
      <c r="J1576" s="17"/>
      <c r="K1576" s="17"/>
      <c r="L1576" s="17"/>
    </row>
    <row r="1577">
      <c r="A1577" s="11" t="str">
        <f t="shared" si="1"/>
        <v/>
      </c>
      <c r="B1577" s="16"/>
      <c r="C1577" s="16"/>
      <c r="D1577" s="16"/>
      <c r="E1577" s="16"/>
      <c r="F1577" s="17"/>
      <c r="G1577" s="17"/>
      <c r="H1577" s="17"/>
      <c r="I1577" s="17"/>
      <c r="J1577" s="17"/>
      <c r="K1577" s="17"/>
      <c r="L1577" s="17"/>
    </row>
    <row r="1578">
      <c r="A1578" s="11" t="str">
        <f t="shared" si="1"/>
        <v/>
      </c>
      <c r="B1578" s="16"/>
      <c r="C1578" s="16"/>
      <c r="D1578" s="16"/>
      <c r="E1578" s="16"/>
      <c r="F1578" s="17"/>
      <c r="G1578" s="17"/>
      <c r="H1578" s="17"/>
      <c r="I1578" s="17"/>
      <c r="J1578" s="17"/>
      <c r="K1578" s="17"/>
      <c r="L1578" s="17"/>
    </row>
    <row r="1579">
      <c r="A1579" s="11" t="str">
        <f t="shared" si="1"/>
        <v/>
      </c>
      <c r="B1579" s="16"/>
      <c r="C1579" s="16"/>
      <c r="D1579" s="16"/>
      <c r="E1579" s="16"/>
      <c r="F1579" s="17"/>
      <c r="G1579" s="17"/>
      <c r="H1579" s="17"/>
      <c r="I1579" s="17"/>
      <c r="J1579" s="17"/>
      <c r="K1579" s="17"/>
      <c r="L1579" s="17"/>
    </row>
    <row r="1580">
      <c r="A1580" s="11" t="str">
        <f t="shared" si="1"/>
        <v/>
      </c>
      <c r="B1580" s="16"/>
      <c r="C1580" s="16"/>
      <c r="D1580" s="16"/>
      <c r="E1580" s="16"/>
      <c r="F1580" s="17"/>
      <c r="G1580" s="17"/>
      <c r="H1580" s="17"/>
      <c r="I1580" s="17"/>
      <c r="J1580" s="17"/>
      <c r="K1580" s="17"/>
      <c r="L1580" s="17"/>
    </row>
    <row r="1581">
      <c r="A1581" s="11" t="str">
        <f t="shared" si="1"/>
        <v/>
      </c>
      <c r="B1581" s="16"/>
      <c r="C1581" s="16"/>
      <c r="D1581" s="16"/>
      <c r="E1581" s="16"/>
      <c r="F1581" s="17"/>
      <c r="G1581" s="17"/>
      <c r="H1581" s="17"/>
      <c r="I1581" s="17"/>
      <c r="J1581" s="17"/>
      <c r="K1581" s="17"/>
      <c r="L1581" s="17"/>
    </row>
    <row r="1582">
      <c r="A1582" s="11" t="str">
        <f t="shared" si="1"/>
        <v/>
      </c>
      <c r="B1582" s="16"/>
      <c r="C1582" s="16"/>
      <c r="D1582" s="16"/>
      <c r="E1582" s="16"/>
      <c r="F1582" s="17"/>
      <c r="G1582" s="17"/>
      <c r="H1582" s="17"/>
      <c r="I1582" s="17"/>
      <c r="J1582" s="17"/>
      <c r="K1582" s="17"/>
      <c r="L1582" s="17"/>
    </row>
    <row r="1583">
      <c r="A1583" s="11" t="str">
        <f t="shared" si="1"/>
        <v/>
      </c>
      <c r="B1583" s="16"/>
      <c r="C1583" s="16"/>
      <c r="D1583" s="16"/>
      <c r="E1583" s="16"/>
      <c r="F1583" s="17"/>
      <c r="G1583" s="17"/>
      <c r="H1583" s="17"/>
      <c r="I1583" s="17"/>
      <c r="J1583" s="17"/>
      <c r="K1583" s="17"/>
      <c r="L1583" s="17"/>
    </row>
    <row r="1584">
      <c r="A1584" s="11" t="str">
        <f t="shared" si="1"/>
        <v/>
      </c>
      <c r="B1584" s="16"/>
      <c r="C1584" s="16"/>
      <c r="D1584" s="16"/>
      <c r="E1584" s="16"/>
      <c r="F1584" s="17"/>
      <c r="G1584" s="17"/>
      <c r="H1584" s="17"/>
      <c r="I1584" s="17"/>
      <c r="J1584" s="17"/>
      <c r="K1584" s="17"/>
      <c r="L1584" s="17"/>
    </row>
    <row r="1585">
      <c r="A1585" s="11" t="str">
        <f t="shared" si="1"/>
        <v/>
      </c>
      <c r="B1585" s="16"/>
      <c r="C1585" s="16"/>
      <c r="D1585" s="16"/>
      <c r="E1585" s="16"/>
      <c r="F1585" s="17"/>
      <c r="G1585" s="17"/>
      <c r="H1585" s="17"/>
      <c r="I1585" s="17"/>
      <c r="J1585" s="17"/>
      <c r="K1585" s="17"/>
      <c r="L1585" s="17"/>
    </row>
    <row r="1586">
      <c r="A1586" s="11" t="str">
        <f t="shared" si="1"/>
        <v/>
      </c>
      <c r="B1586" s="16"/>
      <c r="C1586" s="16"/>
      <c r="D1586" s="16"/>
      <c r="E1586" s="16"/>
      <c r="F1586" s="17"/>
      <c r="G1586" s="17"/>
      <c r="H1586" s="17"/>
      <c r="I1586" s="17"/>
      <c r="J1586" s="17"/>
      <c r="K1586" s="17"/>
      <c r="L1586" s="17"/>
    </row>
    <row r="1587">
      <c r="A1587" s="11" t="str">
        <f t="shared" si="1"/>
        <v/>
      </c>
      <c r="B1587" s="16"/>
      <c r="C1587" s="16"/>
      <c r="D1587" s="16"/>
      <c r="E1587" s="16"/>
      <c r="F1587" s="17"/>
      <c r="G1587" s="17"/>
      <c r="H1587" s="17"/>
      <c r="I1587" s="17"/>
      <c r="J1587" s="17"/>
      <c r="K1587" s="17"/>
      <c r="L1587" s="17"/>
    </row>
    <row r="1588">
      <c r="A1588" s="11" t="str">
        <f t="shared" si="1"/>
        <v/>
      </c>
      <c r="B1588" s="16"/>
      <c r="C1588" s="16"/>
      <c r="D1588" s="16"/>
      <c r="E1588" s="16"/>
      <c r="F1588" s="17"/>
      <c r="G1588" s="17"/>
      <c r="H1588" s="17"/>
      <c r="I1588" s="17"/>
      <c r="J1588" s="17"/>
      <c r="K1588" s="17"/>
      <c r="L1588" s="17"/>
    </row>
    <row r="1589">
      <c r="A1589" s="11" t="str">
        <f t="shared" si="1"/>
        <v/>
      </c>
      <c r="B1589" s="16"/>
      <c r="C1589" s="16"/>
      <c r="D1589" s="16"/>
      <c r="E1589" s="16"/>
      <c r="F1589" s="17"/>
      <c r="G1589" s="17"/>
      <c r="H1589" s="17"/>
      <c r="I1589" s="17"/>
      <c r="J1589" s="17"/>
      <c r="K1589" s="17"/>
      <c r="L1589" s="17"/>
    </row>
    <row r="1590">
      <c r="A1590" s="11" t="str">
        <f t="shared" si="1"/>
        <v/>
      </c>
      <c r="B1590" s="16"/>
      <c r="C1590" s="16"/>
      <c r="D1590" s="16"/>
      <c r="E1590" s="16"/>
      <c r="F1590" s="17"/>
      <c r="G1590" s="17"/>
      <c r="H1590" s="17"/>
      <c r="I1590" s="17"/>
      <c r="J1590" s="17"/>
      <c r="K1590" s="17"/>
      <c r="L1590" s="17"/>
    </row>
    <row r="1591">
      <c r="A1591" s="11" t="str">
        <f t="shared" si="1"/>
        <v/>
      </c>
      <c r="B1591" s="16"/>
      <c r="C1591" s="16"/>
      <c r="D1591" s="16"/>
      <c r="E1591" s="16"/>
      <c r="F1591" s="17"/>
      <c r="G1591" s="17"/>
      <c r="H1591" s="17"/>
      <c r="I1591" s="17"/>
      <c r="J1591" s="17"/>
      <c r="K1591" s="17"/>
      <c r="L1591" s="17"/>
    </row>
    <row r="1592">
      <c r="A1592" s="11" t="str">
        <f t="shared" si="1"/>
        <v/>
      </c>
      <c r="B1592" s="16"/>
      <c r="C1592" s="16"/>
      <c r="D1592" s="16"/>
      <c r="E1592" s="16"/>
      <c r="F1592" s="17"/>
      <c r="G1592" s="17"/>
      <c r="H1592" s="17"/>
      <c r="I1592" s="17"/>
      <c r="J1592" s="17"/>
      <c r="K1592" s="17"/>
      <c r="L1592" s="17"/>
    </row>
    <row r="1593">
      <c r="A1593" s="11" t="str">
        <f t="shared" si="1"/>
        <v/>
      </c>
      <c r="B1593" s="16"/>
      <c r="C1593" s="16"/>
      <c r="D1593" s="16"/>
      <c r="E1593" s="16"/>
      <c r="F1593" s="17"/>
      <c r="G1593" s="17"/>
      <c r="H1593" s="17"/>
      <c r="I1593" s="17"/>
      <c r="J1593" s="17"/>
      <c r="K1593" s="17"/>
      <c r="L1593" s="17"/>
    </row>
    <row r="1594">
      <c r="A1594" s="11" t="str">
        <f t="shared" si="1"/>
        <v/>
      </c>
      <c r="B1594" s="16"/>
      <c r="C1594" s="16"/>
      <c r="D1594" s="16"/>
      <c r="E1594" s="16"/>
      <c r="F1594" s="17"/>
      <c r="G1594" s="17"/>
      <c r="H1594" s="17"/>
      <c r="I1594" s="17"/>
      <c r="J1594" s="17"/>
      <c r="K1594" s="17"/>
      <c r="L1594" s="17"/>
    </row>
    <row r="1595">
      <c r="A1595" s="11" t="str">
        <f t="shared" si="1"/>
        <v/>
      </c>
      <c r="B1595" s="16"/>
      <c r="C1595" s="16"/>
      <c r="D1595" s="16"/>
      <c r="E1595" s="16"/>
      <c r="F1595" s="17"/>
      <c r="G1595" s="17"/>
      <c r="H1595" s="17"/>
      <c r="I1595" s="17"/>
      <c r="J1595" s="17"/>
      <c r="K1595" s="17"/>
      <c r="L1595" s="17"/>
    </row>
    <row r="1596">
      <c r="A1596" s="11" t="str">
        <f t="shared" si="1"/>
        <v/>
      </c>
      <c r="B1596" s="16"/>
      <c r="C1596" s="16"/>
      <c r="D1596" s="16"/>
      <c r="E1596" s="16"/>
      <c r="F1596" s="17"/>
      <c r="G1596" s="17"/>
      <c r="H1596" s="17"/>
      <c r="I1596" s="17"/>
      <c r="J1596" s="17"/>
      <c r="K1596" s="17"/>
      <c r="L1596" s="17"/>
    </row>
    <row r="1597">
      <c r="A1597" s="11" t="str">
        <f t="shared" si="1"/>
        <v/>
      </c>
      <c r="B1597" s="16"/>
      <c r="C1597" s="16"/>
      <c r="D1597" s="16"/>
      <c r="E1597" s="16"/>
      <c r="F1597" s="17"/>
      <c r="G1597" s="17"/>
      <c r="H1597" s="17"/>
      <c r="I1597" s="17"/>
      <c r="J1597" s="17"/>
      <c r="K1597" s="17"/>
      <c r="L1597" s="17"/>
    </row>
    <row r="1598">
      <c r="A1598" s="11" t="str">
        <f t="shared" si="1"/>
        <v/>
      </c>
      <c r="B1598" s="16"/>
      <c r="C1598" s="16"/>
      <c r="D1598" s="16"/>
      <c r="E1598" s="16"/>
      <c r="F1598" s="17"/>
      <c r="G1598" s="17"/>
      <c r="H1598" s="17"/>
      <c r="I1598" s="17"/>
      <c r="J1598" s="17"/>
      <c r="K1598" s="17"/>
      <c r="L1598" s="17"/>
    </row>
    <row r="1599">
      <c r="A1599" s="11" t="str">
        <f t="shared" si="1"/>
        <v/>
      </c>
      <c r="B1599" s="16"/>
      <c r="C1599" s="16"/>
      <c r="D1599" s="16"/>
      <c r="E1599" s="16"/>
      <c r="F1599" s="17"/>
      <c r="G1599" s="17"/>
      <c r="H1599" s="17"/>
      <c r="I1599" s="17"/>
      <c r="J1599" s="17"/>
      <c r="K1599" s="17"/>
      <c r="L1599" s="17"/>
    </row>
    <row r="1600">
      <c r="A1600" s="11" t="str">
        <f t="shared" si="1"/>
        <v/>
      </c>
      <c r="B1600" s="16"/>
      <c r="C1600" s="16"/>
      <c r="D1600" s="16"/>
      <c r="E1600" s="16"/>
      <c r="F1600" s="17"/>
      <c r="G1600" s="17"/>
      <c r="H1600" s="17"/>
      <c r="I1600" s="17"/>
      <c r="J1600" s="17"/>
      <c r="K1600" s="17"/>
      <c r="L1600" s="17"/>
    </row>
    <row r="1601">
      <c r="A1601" s="11" t="str">
        <f t="shared" si="1"/>
        <v/>
      </c>
      <c r="B1601" s="16"/>
      <c r="C1601" s="16"/>
      <c r="D1601" s="16"/>
      <c r="E1601" s="16"/>
      <c r="F1601" s="17"/>
      <c r="G1601" s="17"/>
      <c r="H1601" s="17"/>
      <c r="I1601" s="17"/>
      <c r="J1601" s="17"/>
      <c r="K1601" s="17"/>
      <c r="L1601" s="17"/>
    </row>
    <row r="1602">
      <c r="A1602" s="11" t="str">
        <f t="shared" si="1"/>
        <v/>
      </c>
      <c r="B1602" s="16"/>
      <c r="C1602" s="16"/>
      <c r="D1602" s="16"/>
      <c r="E1602" s="16"/>
      <c r="F1602" s="17"/>
      <c r="G1602" s="17"/>
      <c r="H1602" s="17"/>
      <c r="I1602" s="17"/>
      <c r="J1602" s="17"/>
      <c r="K1602" s="17"/>
      <c r="L1602" s="17"/>
    </row>
    <row r="1603">
      <c r="A1603" s="11" t="str">
        <f t="shared" si="1"/>
        <v/>
      </c>
      <c r="B1603" s="16"/>
      <c r="C1603" s="16"/>
      <c r="D1603" s="16"/>
      <c r="E1603" s="16"/>
      <c r="F1603" s="17"/>
      <c r="G1603" s="17"/>
      <c r="H1603" s="17"/>
      <c r="I1603" s="17"/>
      <c r="J1603" s="17"/>
      <c r="K1603" s="17"/>
      <c r="L1603" s="17"/>
    </row>
    <row r="1604">
      <c r="A1604" s="11" t="str">
        <f t="shared" si="1"/>
        <v/>
      </c>
      <c r="B1604" s="16"/>
      <c r="C1604" s="16"/>
      <c r="D1604" s="16"/>
      <c r="E1604" s="16"/>
      <c r="F1604" s="17"/>
      <c r="G1604" s="17"/>
      <c r="H1604" s="17"/>
      <c r="I1604" s="17"/>
      <c r="J1604" s="17"/>
      <c r="K1604" s="17"/>
      <c r="L1604" s="17"/>
    </row>
    <row r="1605">
      <c r="A1605" s="11" t="str">
        <f t="shared" si="1"/>
        <v/>
      </c>
      <c r="B1605" s="16"/>
      <c r="C1605" s="16"/>
      <c r="D1605" s="16"/>
      <c r="E1605" s="16"/>
      <c r="F1605" s="17"/>
      <c r="G1605" s="17"/>
      <c r="H1605" s="17"/>
      <c r="I1605" s="17"/>
      <c r="J1605" s="17"/>
      <c r="K1605" s="17"/>
      <c r="L1605" s="17"/>
    </row>
    <row r="1606">
      <c r="A1606" s="11" t="str">
        <f t="shared" si="1"/>
        <v/>
      </c>
      <c r="B1606" s="16"/>
      <c r="C1606" s="16"/>
      <c r="D1606" s="16"/>
      <c r="E1606" s="16"/>
      <c r="F1606" s="17"/>
      <c r="G1606" s="17"/>
      <c r="H1606" s="17"/>
      <c r="I1606" s="17"/>
      <c r="J1606" s="17"/>
      <c r="K1606" s="17"/>
      <c r="L1606" s="17"/>
    </row>
    <row r="1607">
      <c r="A1607" s="11" t="str">
        <f t="shared" si="1"/>
        <v/>
      </c>
      <c r="B1607" s="16"/>
      <c r="C1607" s="16"/>
      <c r="D1607" s="16"/>
      <c r="E1607" s="16"/>
      <c r="F1607" s="17"/>
      <c r="G1607" s="17"/>
      <c r="H1607" s="17"/>
      <c r="I1607" s="17"/>
      <c r="J1607" s="17"/>
      <c r="K1607" s="17"/>
      <c r="L1607" s="17"/>
    </row>
    <row r="1608">
      <c r="A1608" s="11" t="str">
        <f t="shared" si="1"/>
        <v/>
      </c>
      <c r="B1608" s="16"/>
      <c r="C1608" s="16"/>
      <c r="D1608" s="16"/>
      <c r="E1608" s="16"/>
      <c r="F1608" s="17"/>
      <c r="G1608" s="17"/>
      <c r="H1608" s="17"/>
      <c r="I1608" s="17"/>
      <c r="J1608" s="17"/>
      <c r="K1608" s="17"/>
      <c r="L1608" s="17"/>
    </row>
    <row r="1609">
      <c r="A1609" s="11" t="str">
        <f t="shared" si="1"/>
        <v/>
      </c>
      <c r="B1609" s="16"/>
      <c r="C1609" s="16"/>
      <c r="D1609" s="16"/>
      <c r="E1609" s="16"/>
      <c r="F1609" s="17"/>
      <c r="G1609" s="17"/>
      <c r="H1609" s="17"/>
      <c r="I1609" s="17"/>
      <c r="J1609" s="17"/>
      <c r="K1609" s="17"/>
      <c r="L1609" s="17"/>
    </row>
    <row r="1610">
      <c r="A1610" s="11" t="str">
        <f t="shared" si="1"/>
        <v/>
      </c>
      <c r="B1610" s="16"/>
      <c r="C1610" s="16"/>
      <c r="D1610" s="16"/>
      <c r="E1610" s="16"/>
      <c r="F1610" s="17"/>
      <c r="G1610" s="17"/>
      <c r="H1610" s="17"/>
      <c r="I1610" s="17"/>
      <c r="J1610" s="17"/>
      <c r="K1610" s="17"/>
      <c r="L1610" s="17"/>
    </row>
    <row r="1611">
      <c r="A1611" s="11" t="str">
        <f t="shared" si="1"/>
        <v/>
      </c>
      <c r="B1611" s="16"/>
      <c r="C1611" s="16"/>
      <c r="D1611" s="16"/>
      <c r="E1611" s="16"/>
      <c r="F1611" s="17"/>
      <c r="G1611" s="17"/>
      <c r="H1611" s="17"/>
      <c r="I1611" s="17"/>
      <c r="J1611" s="17"/>
      <c r="K1611" s="17"/>
      <c r="L1611" s="17"/>
    </row>
    <row r="1612">
      <c r="A1612" s="11" t="str">
        <f t="shared" si="1"/>
        <v/>
      </c>
      <c r="B1612" s="16"/>
      <c r="C1612" s="16"/>
      <c r="D1612" s="16"/>
      <c r="E1612" s="16"/>
      <c r="F1612" s="17"/>
      <c r="G1612" s="17"/>
      <c r="H1612" s="17"/>
      <c r="I1612" s="17"/>
      <c r="J1612" s="17"/>
      <c r="K1612" s="17"/>
      <c r="L1612" s="17"/>
    </row>
    <row r="1613">
      <c r="A1613" s="11" t="str">
        <f t="shared" si="1"/>
        <v/>
      </c>
      <c r="B1613" s="16"/>
      <c r="C1613" s="16"/>
      <c r="D1613" s="16"/>
      <c r="E1613" s="16"/>
      <c r="F1613" s="17"/>
      <c r="G1613" s="17"/>
      <c r="H1613" s="17"/>
      <c r="I1613" s="17"/>
      <c r="J1613" s="17"/>
      <c r="K1613" s="17"/>
      <c r="L1613" s="17"/>
    </row>
    <row r="1614">
      <c r="A1614" s="11" t="str">
        <f t="shared" si="1"/>
        <v/>
      </c>
      <c r="B1614" s="16"/>
      <c r="C1614" s="16"/>
      <c r="D1614" s="16"/>
      <c r="E1614" s="16"/>
      <c r="F1614" s="17"/>
      <c r="G1614" s="17"/>
      <c r="H1614" s="17"/>
      <c r="I1614" s="17"/>
      <c r="J1614" s="17"/>
      <c r="K1614" s="17"/>
      <c r="L1614" s="17"/>
    </row>
    <row r="1615">
      <c r="A1615" s="11" t="str">
        <f t="shared" si="1"/>
        <v/>
      </c>
      <c r="B1615" s="16"/>
      <c r="C1615" s="16"/>
      <c r="D1615" s="16"/>
      <c r="E1615" s="16"/>
      <c r="F1615" s="17"/>
      <c r="G1615" s="17"/>
      <c r="H1615" s="17"/>
      <c r="I1615" s="17"/>
      <c r="J1615" s="17"/>
      <c r="K1615" s="17"/>
      <c r="L1615" s="17"/>
    </row>
    <row r="1616">
      <c r="A1616" s="11" t="str">
        <f t="shared" si="1"/>
        <v/>
      </c>
      <c r="B1616" s="16"/>
      <c r="C1616" s="16"/>
      <c r="D1616" s="16"/>
      <c r="E1616" s="16"/>
      <c r="F1616" s="17"/>
      <c r="G1616" s="17"/>
      <c r="H1616" s="17"/>
      <c r="I1616" s="17"/>
      <c r="J1616" s="17"/>
      <c r="K1616" s="17"/>
      <c r="L1616" s="17"/>
    </row>
    <row r="1617">
      <c r="A1617" s="11" t="str">
        <f t="shared" si="1"/>
        <v/>
      </c>
      <c r="B1617" s="16"/>
      <c r="C1617" s="16"/>
      <c r="D1617" s="16"/>
      <c r="E1617" s="16"/>
      <c r="F1617" s="17"/>
      <c r="G1617" s="17"/>
      <c r="H1617" s="17"/>
      <c r="I1617" s="17"/>
      <c r="J1617" s="17"/>
      <c r="K1617" s="17"/>
      <c r="L1617" s="17"/>
    </row>
    <row r="1618">
      <c r="A1618" s="11" t="str">
        <f t="shared" si="1"/>
        <v/>
      </c>
      <c r="B1618" s="16"/>
      <c r="C1618" s="16"/>
      <c r="D1618" s="16"/>
      <c r="E1618" s="16"/>
      <c r="F1618" s="17"/>
      <c r="G1618" s="17"/>
      <c r="H1618" s="17"/>
      <c r="I1618" s="17"/>
      <c r="J1618" s="17"/>
      <c r="K1618" s="17"/>
      <c r="L1618" s="17"/>
    </row>
    <row r="1619">
      <c r="A1619" s="11" t="str">
        <f t="shared" si="1"/>
        <v/>
      </c>
      <c r="B1619" s="16"/>
      <c r="C1619" s="16"/>
      <c r="D1619" s="16"/>
      <c r="E1619" s="16"/>
      <c r="F1619" s="17"/>
      <c r="G1619" s="17"/>
      <c r="H1619" s="17"/>
      <c r="I1619" s="17"/>
      <c r="J1619" s="17"/>
      <c r="K1619" s="17"/>
      <c r="L1619" s="17"/>
    </row>
    <row r="1620">
      <c r="A1620" s="11" t="str">
        <f t="shared" si="1"/>
        <v/>
      </c>
      <c r="B1620" s="16"/>
      <c r="C1620" s="16"/>
      <c r="D1620" s="16"/>
      <c r="E1620" s="16"/>
      <c r="F1620" s="17"/>
      <c r="G1620" s="17"/>
      <c r="H1620" s="17"/>
      <c r="I1620" s="17"/>
      <c r="J1620" s="17"/>
      <c r="K1620" s="17"/>
      <c r="L1620" s="17"/>
    </row>
    <row r="1621">
      <c r="A1621" s="11" t="str">
        <f t="shared" si="1"/>
        <v/>
      </c>
      <c r="B1621" s="16"/>
      <c r="C1621" s="16"/>
      <c r="D1621" s="16"/>
      <c r="E1621" s="16"/>
      <c r="F1621" s="17"/>
      <c r="G1621" s="17"/>
      <c r="H1621" s="17"/>
      <c r="I1621" s="17"/>
      <c r="J1621" s="17"/>
      <c r="K1621" s="17"/>
      <c r="L1621" s="17"/>
    </row>
    <row r="1622">
      <c r="A1622" s="11" t="str">
        <f t="shared" si="1"/>
        <v/>
      </c>
      <c r="B1622" s="16"/>
      <c r="C1622" s="16"/>
      <c r="D1622" s="16"/>
      <c r="E1622" s="16"/>
      <c r="F1622" s="17"/>
      <c r="G1622" s="17"/>
      <c r="H1622" s="17"/>
      <c r="I1622" s="17"/>
      <c r="J1622" s="17"/>
      <c r="K1622" s="17"/>
      <c r="L1622" s="17"/>
    </row>
    <row r="1623">
      <c r="A1623" s="11" t="str">
        <f t="shared" si="1"/>
        <v/>
      </c>
      <c r="B1623" s="16"/>
      <c r="C1623" s="16"/>
      <c r="D1623" s="16"/>
      <c r="E1623" s="16"/>
      <c r="F1623" s="17"/>
      <c r="G1623" s="17"/>
      <c r="H1623" s="17"/>
      <c r="I1623" s="17"/>
      <c r="J1623" s="17"/>
      <c r="K1623" s="17"/>
      <c r="L1623" s="17"/>
    </row>
    <row r="1624">
      <c r="A1624" s="11" t="str">
        <f t="shared" si="1"/>
        <v/>
      </c>
      <c r="B1624" s="16"/>
      <c r="C1624" s="16"/>
      <c r="D1624" s="16"/>
      <c r="E1624" s="16"/>
      <c r="F1624" s="17"/>
      <c r="G1624" s="17"/>
      <c r="H1624" s="17"/>
      <c r="I1624" s="17"/>
      <c r="J1624" s="17"/>
      <c r="K1624" s="17"/>
      <c r="L1624" s="17"/>
    </row>
    <row r="1625">
      <c r="A1625" s="11" t="str">
        <f t="shared" si="1"/>
        <v/>
      </c>
      <c r="B1625" s="16"/>
      <c r="C1625" s="16"/>
      <c r="D1625" s="16"/>
      <c r="E1625" s="16"/>
      <c r="F1625" s="17"/>
      <c r="G1625" s="17"/>
      <c r="H1625" s="17"/>
      <c r="I1625" s="17"/>
      <c r="J1625" s="17"/>
      <c r="K1625" s="17"/>
      <c r="L1625" s="17"/>
    </row>
    <row r="1626">
      <c r="A1626" s="11" t="str">
        <f t="shared" si="1"/>
        <v/>
      </c>
      <c r="B1626" s="16"/>
      <c r="C1626" s="16"/>
      <c r="D1626" s="16"/>
      <c r="E1626" s="16"/>
      <c r="F1626" s="17"/>
      <c r="G1626" s="17"/>
      <c r="H1626" s="17"/>
      <c r="I1626" s="17"/>
      <c r="J1626" s="17"/>
      <c r="K1626" s="17"/>
      <c r="L1626" s="17"/>
    </row>
    <row r="1627">
      <c r="A1627" s="11" t="str">
        <f t="shared" si="1"/>
        <v/>
      </c>
      <c r="B1627" s="16"/>
      <c r="C1627" s="16"/>
      <c r="D1627" s="16"/>
      <c r="E1627" s="16"/>
      <c r="F1627" s="17"/>
      <c r="G1627" s="17"/>
      <c r="H1627" s="17"/>
      <c r="I1627" s="17"/>
      <c r="J1627" s="17"/>
      <c r="K1627" s="17"/>
      <c r="L1627" s="17"/>
    </row>
    <row r="1628">
      <c r="A1628" s="11" t="str">
        <f t="shared" si="1"/>
        <v/>
      </c>
      <c r="B1628" s="16"/>
      <c r="C1628" s="16"/>
      <c r="D1628" s="16"/>
      <c r="E1628" s="16"/>
      <c r="F1628" s="17"/>
      <c r="G1628" s="17"/>
      <c r="H1628" s="17"/>
      <c r="I1628" s="17"/>
      <c r="J1628" s="17"/>
      <c r="K1628" s="17"/>
      <c r="L1628" s="17"/>
    </row>
    <row r="1629">
      <c r="A1629" s="11" t="str">
        <f t="shared" si="1"/>
        <v/>
      </c>
      <c r="B1629" s="16"/>
      <c r="C1629" s="16"/>
      <c r="D1629" s="16"/>
      <c r="E1629" s="16"/>
      <c r="F1629" s="17"/>
      <c r="G1629" s="17"/>
      <c r="H1629" s="17"/>
      <c r="I1629" s="17"/>
      <c r="J1629" s="17"/>
      <c r="K1629" s="17"/>
      <c r="L1629" s="17"/>
    </row>
    <row r="1630">
      <c r="A1630" s="11" t="str">
        <f t="shared" si="1"/>
        <v/>
      </c>
      <c r="B1630" s="16"/>
      <c r="C1630" s="16"/>
      <c r="D1630" s="16"/>
      <c r="E1630" s="16"/>
      <c r="F1630" s="17"/>
      <c r="G1630" s="17"/>
      <c r="H1630" s="17"/>
      <c r="I1630" s="17"/>
      <c r="J1630" s="17"/>
      <c r="K1630" s="17"/>
      <c r="L1630" s="17"/>
    </row>
    <row r="1631">
      <c r="A1631" s="11" t="str">
        <f t="shared" si="1"/>
        <v/>
      </c>
      <c r="B1631" s="16"/>
      <c r="C1631" s="16"/>
      <c r="D1631" s="16"/>
      <c r="E1631" s="16"/>
      <c r="F1631" s="17"/>
      <c r="G1631" s="17"/>
      <c r="H1631" s="17"/>
      <c r="I1631" s="17"/>
      <c r="J1631" s="17"/>
      <c r="K1631" s="17"/>
      <c r="L1631" s="17"/>
    </row>
    <row r="1632">
      <c r="A1632" s="11" t="str">
        <f t="shared" si="1"/>
        <v/>
      </c>
      <c r="B1632" s="16"/>
      <c r="C1632" s="16"/>
      <c r="D1632" s="16"/>
      <c r="E1632" s="16"/>
      <c r="F1632" s="17"/>
      <c r="G1632" s="17"/>
      <c r="H1632" s="17"/>
      <c r="I1632" s="17"/>
      <c r="J1632" s="17"/>
      <c r="K1632" s="17"/>
      <c r="L1632" s="17"/>
    </row>
    <row r="1633">
      <c r="A1633" s="11" t="str">
        <f t="shared" si="1"/>
        <v/>
      </c>
      <c r="B1633" s="16"/>
      <c r="C1633" s="16"/>
      <c r="D1633" s="16"/>
      <c r="E1633" s="16"/>
      <c r="F1633" s="17"/>
      <c r="G1633" s="17"/>
      <c r="H1633" s="17"/>
      <c r="I1633" s="17"/>
      <c r="J1633" s="17"/>
      <c r="K1633" s="17"/>
      <c r="L1633" s="17"/>
    </row>
    <row r="1634">
      <c r="A1634" s="11" t="str">
        <f t="shared" si="1"/>
        <v/>
      </c>
      <c r="B1634" s="16"/>
      <c r="C1634" s="16"/>
      <c r="D1634" s="16"/>
      <c r="E1634" s="16"/>
      <c r="F1634" s="17"/>
      <c r="G1634" s="17"/>
      <c r="H1634" s="17"/>
      <c r="I1634" s="17"/>
      <c r="J1634" s="17"/>
      <c r="K1634" s="17"/>
      <c r="L1634" s="17"/>
    </row>
    <row r="1635">
      <c r="A1635" s="11" t="str">
        <f t="shared" si="1"/>
        <v/>
      </c>
      <c r="B1635" s="16"/>
      <c r="C1635" s="16"/>
      <c r="D1635" s="16"/>
      <c r="E1635" s="16"/>
      <c r="F1635" s="17"/>
      <c r="G1635" s="17"/>
      <c r="H1635" s="17"/>
      <c r="I1635" s="17"/>
      <c r="J1635" s="17"/>
      <c r="K1635" s="17"/>
      <c r="L1635" s="17"/>
    </row>
    <row r="1636">
      <c r="A1636" s="11" t="str">
        <f t="shared" si="1"/>
        <v/>
      </c>
      <c r="B1636" s="16"/>
      <c r="C1636" s="16"/>
      <c r="D1636" s="16"/>
      <c r="E1636" s="16"/>
      <c r="F1636" s="17"/>
      <c r="G1636" s="17"/>
      <c r="H1636" s="17"/>
      <c r="I1636" s="17"/>
      <c r="J1636" s="17"/>
      <c r="K1636" s="17"/>
      <c r="L1636" s="17"/>
    </row>
    <row r="1637">
      <c r="A1637" s="11" t="str">
        <f t="shared" si="1"/>
        <v/>
      </c>
      <c r="B1637" s="16"/>
      <c r="C1637" s="16"/>
      <c r="D1637" s="16"/>
      <c r="E1637" s="16"/>
      <c r="F1637" s="17"/>
      <c r="G1637" s="17"/>
      <c r="H1637" s="17"/>
      <c r="I1637" s="17"/>
      <c r="J1637" s="17"/>
      <c r="K1637" s="17"/>
      <c r="L1637" s="17"/>
    </row>
    <row r="1638">
      <c r="A1638" s="11" t="str">
        <f t="shared" si="1"/>
        <v/>
      </c>
      <c r="B1638" s="16"/>
      <c r="C1638" s="16"/>
      <c r="D1638" s="16"/>
      <c r="E1638" s="16"/>
      <c r="F1638" s="17"/>
      <c r="G1638" s="17"/>
      <c r="H1638" s="17"/>
      <c r="I1638" s="17"/>
      <c r="J1638" s="17"/>
      <c r="K1638" s="17"/>
      <c r="L1638" s="17"/>
    </row>
    <row r="1639">
      <c r="A1639" s="11" t="str">
        <f t="shared" si="1"/>
        <v/>
      </c>
      <c r="B1639" s="16"/>
      <c r="C1639" s="16"/>
      <c r="D1639" s="16"/>
      <c r="E1639" s="16"/>
      <c r="F1639" s="17"/>
      <c r="G1639" s="17"/>
      <c r="H1639" s="17"/>
      <c r="I1639" s="17"/>
      <c r="J1639" s="17"/>
      <c r="K1639" s="17"/>
      <c r="L1639" s="17"/>
    </row>
    <row r="1640">
      <c r="A1640" s="11" t="str">
        <f t="shared" si="1"/>
        <v/>
      </c>
      <c r="B1640" s="16"/>
      <c r="C1640" s="16"/>
      <c r="D1640" s="16"/>
      <c r="E1640" s="16"/>
      <c r="F1640" s="17"/>
      <c r="G1640" s="17"/>
      <c r="H1640" s="17"/>
      <c r="I1640" s="17"/>
      <c r="J1640" s="17"/>
      <c r="K1640" s="17"/>
      <c r="L1640" s="17"/>
    </row>
    <row r="1641">
      <c r="A1641" s="11" t="str">
        <f t="shared" si="1"/>
        <v/>
      </c>
      <c r="B1641" s="16"/>
      <c r="C1641" s="16"/>
      <c r="D1641" s="16"/>
      <c r="E1641" s="16"/>
      <c r="F1641" s="17"/>
      <c r="G1641" s="17"/>
      <c r="H1641" s="17"/>
      <c r="I1641" s="17"/>
      <c r="J1641" s="17"/>
      <c r="K1641" s="17"/>
      <c r="L1641" s="17"/>
    </row>
    <row r="1642">
      <c r="A1642" s="11" t="str">
        <f t="shared" si="1"/>
        <v/>
      </c>
      <c r="B1642" s="16"/>
      <c r="C1642" s="16"/>
      <c r="D1642" s="16"/>
      <c r="E1642" s="16"/>
      <c r="F1642" s="17"/>
      <c r="G1642" s="17"/>
      <c r="H1642" s="17"/>
      <c r="I1642" s="17"/>
      <c r="J1642" s="17"/>
      <c r="K1642" s="17"/>
      <c r="L1642" s="17"/>
    </row>
    <row r="1643">
      <c r="A1643" s="11" t="str">
        <f t="shared" si="1"/>
        <v/>
      </c>
      <c r="B1643" s="16"/>
      <c r="C1643" s="16"/>
      <c r="D1643" s="16"/>
      <c r="E1643" s="16"/>
      <c r="F1643" s="17"/>
      <c r="G1643" s="17"/>
      <c r="H1643" s="17"/>
      <c r="I1643" s="17"/>
      <c r="J1643" s="17"/>
      <c r="K1643" s="17"/>
      <c r="L1643" s="17"/>
    </row>
    <row r="1644">
      <c r="A1644" s="11" t="str">
        <f t="shared" si="1"/>
        <v/>
      </c>
      <c r="B1644" s="16"/>
      <c r="C1644" s="16"/>
      <c r="D1644" s="16"/>
      <c r="E1644" s="16"/>
      <c r="F1644" s="17"/>
      <c r="G1644" s="17"/>
      <c r="H1644" s="17"/>
      <c r="I1644" s="17"/>
      <c r="J1644" s="17"/>
      <c r="K1644" s="17"/>
      <c r="L1644" s="17"/>
    </row>
    <row r="1645">
      <c r="A1645" s="11" t="str">
        <f t="shared" si="1"/>
        <v/>
      </c>
      <c r="B1645" s="16"/>
      <c r="C1645" s="16"/>
      <c r="D1645" s="16"/>
      <c r="E1645" s="16"/>
      <c r="F1645" s="17"/>
      <c r="G1645" s="17"/>
      <c r="H1645" s="17"/>
      <c r="I1645" s="17"/>
      <c r="J1645" s="17"/>
      <c r="K1645" s="17"/>
      <c r="L1645" s="17"/>
    </row>
    <row r="1646">
      <c r="A1646" s="11" t="str">
        <f t="shared" si="1"/>
        <v/>
      </c>
      <c r="B1646" s="16"/>
      <c r="C1646" s="16"/>
      <c r="D1646" s="16"/>
      <c r="E1646" s="16"/>
      <c r="F1646" s="17"/>
      <c r="G1646" s="17"/>
      <c r="H1646" s="17"/>
      <c r="I1646" s="17"/>
      <c r="J1646" s="17"/>
      <c r="K1646" s="17"/>
      <c r="L1646" s="17"/>
    </row>
    <row r="1647">
      <c r="A1647" s="11" t="str">
        <f t="shared" si="1"/>
        <v/>
      </c>
      <c r="B1647" s="16"/>
      <c r="C1647" s="16"/>
      <c r="D1647" s="16"/>
      <c r="E1647" s="16"/>
      <c r="F1647" s="17"/>
      <c r="G1647" s="17"/>
      <c r="H1647" s="17"/>
      <c r="I1647" s="17"/>
      <c r="J1647" s="17"/>
      <c r="K1647" s="17"/>
      <c r="L1647" s="17"/>
    </row>
    <row r="1648">
      <c r="A1648" s="11" t="str">
        <f t="shared" si="1"/>
        <v/>
      </c>
      <c r="B1648" s="16"/>
      <c r="C1648" s="16"/>
      <c r="D1648" s="16"/>
      <c r="E1648" s="16"/>
      <c r="F1648" s="17"/>
      <c r="G1648" s="17"/>
      <c r="H1648" s="17"/>
      <c r="I1648" s="17"/>
      <c r="J1648" s="17"/>
      <c r="K1648" s="17"/>
      <c r="L1648" s="17"/>
    </row>
    <row r="1649">
      <c r="A1649" s="11" t="str">
        <f t="shared" si="1"/>
        <v/>
      </c>
      <c r="B1649" s="16"/>
      <c r="C1649" s="16"/>
      <c r="D1649" s="16"/>
      <c r="E1649" s="16"/>
      <c r="F1649" s="17"/>
      <c r="G1649" s="17"/>
      <c r="H1649" s="17"/>
      <c r="I1649" s="17"/>
      <c r="J1649" s="17"/>
      <c r="K1649" s="17"/>
      <c r="L1649" s="17"/>
    </row>
    <row r="1650">
      <c r="A1650" s="11" t="str">
        <f t="shared" si="1"/>
        <v/>
      </c>
      <c r="B1650" s="16"/>
      <c r="C1650" s="16"/>
      <c r="D1650" s="16"/>
      <c r="E1650" s="16"/>
      <c r="F1650" s="17"/>
      <c r="G1650" s="17"/>
      <c r="H1650" s="17"/>
      <c r="I1650" s="17"/>
      <c r="J1650" s="17"/>
      <c r="K1650" s="17"/>
      <c r="L1650" s="17"/>
    </row>
    <row r="1651">
      <c r="A1651" s="11" t="str">
        <f t="shared" si="1"/>
        <v/>
      </c>
      <c r="B1651" s="16"/>
      <c r="C1651" s="16"/>
      <c r="D1651" s="16"/>
      <c r="E1651" s="16"/>
      <c r="F1651" s="17"/>
      <c r="G1651" s="17"/>
      <c r="H1651" s="17"/>
      <c r="I1651" s="17"/>
      <c r="J1651" s="17"/>
      <c r="K1651" s="17"/>
      <c r="L1651" s="17"/>
    </row>
    <row r="1652">
      <c r="A1652" s="11" t="str">
        <f t="shared" si="1"/>
        <v/>
      </c>
      <c r="B1652" s="16"/>
      <c r="C1652" s="16"/>
      <c r="D1652" s="16"/>
      <c r="E1652" s="16"/>
      <c r="F1652" s="17"/>
      <c r="G1652" s="17"/>
      <c r="H1652" s="17"/>
      <c r="I1652" s="17"/>
      <c r="J1652" s="17"/>
      <c r="K1652" s="17"/>
      <c r="L1652" s="17"/>
    </row>
    <row r="1653">
      <c r="A1653" s="11" t="str">
        <f t="shared" si="1"/>
        <v/>
      </c>
      <c r="B1653" s="16"/>
      <c r="C1653" s="16"/>
      <c r="D1653" s="16"/>
      <c r="E1653" s="16"/>
      <c r="F1653" s="17"/>
      <c r="G1653" s="17"/>
      <c r="H1653" s="17"/>
      <c r="I1653" s="17"/>
      <c r="J1653" s="17"/>
      <c r="K1653" s="17"/>
      <c r="L1653" s="17"/>
    </row>
    <row r="1654">
      <c r="A1654" s="11" t="str">
        <f t="shared" si="1"/>
        <v/>
      </c>
      <c r="B1654" s="16"/>
      <c r="C1654" s="16"/>
      <c r="D1654" s="16"/>
      <c r="E1654" s="16"/>
      <c r="F1654" s="17"/>
      <c r="G1654" s="17"/>
      <c r="H1654" s="17"/>
      <c r="I1654" s="17"/>
      <c r="J1654" s="17"/>
      <c r="K1654" s="17"/>
      <c r="L1654" s="17"/>
    </row>
    <row r="1655">
      <c r="A1655" s="11" t="str">
        <f t="shared" si="1"/>
        <v/>
      </c>
      <c r="B1655" s="16"/>
      <c r="C1655" s="16"/>
      <c r="D1655" s="16"/>
      <c r="E1655" s="16"/>
      <c r="F1655" s="17"/>
      <c r="G1655" s="17"/>
      <c r="H1655" s="17"/>
      <c r="I1655" s="17"/>
      <c r="J1655" s="17"/>
      <c r="K1655" s="17"/>
      <c r="L1655" s="17"/>
    </row>
    <row r="1656">
      <c r="A1656" s="11" t="str">
        <f t="shared" si="1"/>
        <v/>
      </c>
      <c r="B1656" s="16"/>
      <c r="C1656" s="16"/>
      <c r="D1656" s="16"/>
      <c r="E1656" s="16"/>
      <c r="F1656" s="17"/>
      <c r="G1656" s="17"/>
      <c r="H1656" s="17"/>
      <c r="I1656" s="17"/>
      <c r="J1656" s="17"/>
      <c r="K1656" s="17"/>
      <c r="L1656" s="17"/>
    </row>
    <row r="1657">
      <c r="A1657" s="11" t="str">
        <f t="shared" si="1"/>
        <v/>
      </c>
      <c r="B1657" s="16"/>
      <c r="C1657" s="16"/>
      <c r="D1657" s="16"/>
      <c r="E1657" s="16"/>
      <c r="F1657" s="17"/>
      <c r="G1657" s="17"/>
      <c r="H1657" s="17"/>
      <c r="I1657" s="17"/>
      <c r="J1657" s="17"/>
      <c r="K1657" s="17"/>
      <c r="L1657" s="17"/>
    </row>
    <row r="1658">
      <c r="A1658" s="11" t="str">
        <f t="shared" si="1"/>
        <v/>
      </c>
      <c r="B1658" s="16"/>
      <c r="C1658" s="16"/>
      <c r="D1658" s="16"/>
      <c r="E1658" s="16"/>
      <c r="F1658" s="17"/>
      <c r="G1658" s="17"/>
      <c r="H1658" s="17"/>
      <c r="I1658" s="17"/>
      <c r="J1658" s="17"/>
      <c r="K1658" s="17"/>
      <c r="L1658" s="17"/>
    </row>
    <row r="1659">
      <c r="A1659" s="11" t="str">
        <f t="shared" si="1"/>
        <v/>
      </c>
      <c r="B1659" s="16"/>
      <c r="C1659" s="16"/>
      <c r="D1659" s="16"/>
      <c r="E1659" s="16"/>
      <c r="F1659" s="17"/>
      <c r="G1659" s="17"/>
      <c r="H1659" s="17"/>
      <c r="I1659" s="17"/>
      <c r="J1659" s="17"/>
      <c r="K1659" s="17"/>
      <c r="L1659" s="17"/>
    </row>
    <row r="1660">
      <c r="A1660" s="11" t="str">
        <f t="shared" si="1"/>
        <v/>
      </c>
      <c r="B1660" s="16"/>
      <c r="C1660" s="16"/>
      <c r="D1660" s="16"/>
      <c r="E1660" s="16"/>
      <c r="F1660" s="17"/>
      <c r="G1660" s="17"/>
      <c r="H1660" s="17"/>
      <c r="I1660" s="17"/>
      <c r="J1660" s="17"/>
      <c r="K1660" s="17"/>
      <c r="L1660" s="17"/>
    </row>
    <row r="1661">
      <c r="A1661" s="11" t="str">
        <f t="shared" si="1"/>
        <v/>
      </c>
      <c r="B1661" s="16"/>
      <c r="C1661" s="16"/>
      <c r="D1661" s="16"/>
      <c r="E1661" s="16"/>
      <c r="F1661" s="17"/>
      <c r="G1661" s="17"/>
      <c r="H1661" s="17"/>
      <c r="I1661" s="17"/>
      <c r="J1661" s="17"/>
      <c r="K1661" s="17"/>
      <c r="L1661" s="17"/>
    </row>
    <row r="1662">
      <c r="A1662" s="11" t="str">
        <f t="shared" si="1"/>
        <v/>
      </c>
      <c r="B1662" s="16"/>
      <c r="C1662" s="16"/>
      <c r="D1662" s="16"/>
      <c r="E1662" s="16"/>
      <c r="F1662" s="17"/>
      <c r="G1662" s="17"/>
      <c r="H1662" s="17"/>
      <c r="I1662" s="17"/>
      <c r="J1662" s="17"/>
      <c r="K1662" s="17"/>
      <c r="L1662" s="17"/>
    </row>
    <row r="1663">
      <c r="A1663" s="11" t="str">
        <f t="shared" si="1"/>
        <v/>
      </c>
      <c r="B1663" s="16"/>
      <c r="C1663" s="16"/>
      <c r="D1663" s="16"/>
      <c r="E1663" s="16"/>
      <c r="F1663" s="17"/>
      <c r="G1663" s="17"/>
      <c r="H1663" s="17"/>
      <c r="I1663" s="17"/>
      <c r="J1663" s="17"/>
      <c r="K1663" s="17"/>
      <c r="L1663" s="17"/>
    </row>
    <row r="1664">
      <c r="A1664" s="11" t="str">
        <f t="shared" si="1"/>
        <v/>
      </c>
      <c r="B1664" s="16"/>
      <c r="C1664" s="16"/>
      <c r="D1664" s="16"/>
      <c r="E1664" s="16"/>
      <c r="F1664" s="17"/>
      <c r="G1664" s="17"/>
      <c r="H1664" s="17"/>
      <c r="I1664" s="17"/>
      <c r="J1664" s="17"/>
      <c r="K1664" s="17"/>
      <c r="L1664" s="17"/>
    </row>
    <row r="1665">
      <c r="A1665" s="11" t="str">
        <f t="shared" si="1"/>
        <v/>
      </c>
      <c r="B1665" s="16"/>
      <c r="C1665" s="16"/>
      <c r="D1665" s="16"/>
      <c r="E1665" s="16"/>
      <c r="F1665" s="17"/>
      <c r="G1665" s="17"/>
      <c r="H1665" s="17"/>
      <c r="I1665" s="17"/>
      <c r="J1665" s="17"/>
      <c r="K1665" s="17"/>
      <c r="L1665" s="17"/>
    </row>
    <row r="1666">
      <c r="A1666" s="11" t="str">
        <f t="shared" si="1"/>
        <v/>
      </c>
      <c r="B1666" s="16"/>
      <c r="C1666" s="16"/>
      <c r="D1666" s="16"/>
      <c r="E1666" s="16"/>
      <c r="F1666" s="17"/>
      <c r="G1666" s="17"/>
      <c r="H1666" s="17"/>
      <c r="I1666" s="17"/>
      <c r="J1666" s="17"/>
      <c r="K1666" s="17"/>
      <c r="L1666" s="17"/>
    </row>
    <row r="1667">
      <c r="A1667" s="11" t="str">
        <f t="shared" si="1"/>
        <v/>
      </c>
      <c r="B1667" s="16"/>
      <c r="C1667" s="16"/>
      <c r="D1667" s="16"/>
      <c r="E1667" s="16"/>
      <c r="F1667" s="17"/>
      <c r="G1667" s="17"/>
      <c r="H1667" s="17"/>
      <c r="I1667" s="17"/>
      <c r="J1667" s="17"/>
      <c r="K1667" s="17"/>
      <c r="L1667" s="17"/>
    </row>
    <row r="1668">
      <c r="A1668" s="11" t="str">
        <f t="shared" si="1"/>
        <v/>
      </c>
      <c r="B1668" s="16"/>
      <c r="C1668" s="16"/>
      <c r="D1668" s="16"/>
      <c r="E1668" s="16"/>
      <c r="F1668" s="17"/>
      <c r="G1668" s="17"/>
      <c r="H1668" s="17"/>
      <c r="I1668" s="17"/>
      <c r="J1668" s="17"/>
      <c r="K1668" s="17"/>
      <c r="L1668" s="17"/>
    </row>
    <row r="1669">
      <c r="A1669" s="11" t="str">
        <f t="shared" si="1"/>
        <v/>
      </c>
      <c r="B1669" s="16"/>
      <c r="C1669" s="16"/>
      <c r="D1669" s="16"/>
      <c r="E1669" s="16"/>
      <c r="F1669" s="17"/>
      <c r="G1669" s="17"/>
      <c r="H1669" s="17"/>
      <c r="I1669" s="17"/>
      <c r="J1669" s="17"/>
      <c r="K1669" s="17"/>
      <c r="L1669" s="17"/>
    </row>
    <row r="1670">
      <c r="A1670" s="11" t="str">
        <f t="shared" si="1"/>
        <v/>
      </c>
      <c r="B1670" s="16"/>
      <c r="C1670" s="16"/>
      <c r="D1670" s="16"/>
      <c r="E1670" s="16"/>
      <c r="F1670" s="17"/>
      <c r="G1670" s="17"/>
      <c r="H1670" s="17"/>
      <c r="I1670" s="17"/>
      <c r="J1670" s="17"/>
      <c r="K1670" s="17"/>
      <c r="L1670" s="17"/>
    </row>
    <row r="1671">
      <c r="A1671" s="11" t="str">
        <f t="shared" si="1"/>
        <v/>
      </c>
      <c r="B1671" s="16"/>
      <c r="C1671" s="16"/>
      <c r="D1671" s="16"/>
      <c r="E1671" s="16"/>
      <c r="F1671" s="17"/>
      <c r="G1671" s="17"/>
      <c r="H1671" s="17"/>
      <c r="I1671" s="17"/>
      <c r="J1671" s="17"/>
      <c r="K1671" s="17"/>
      <c r="L1671" s="17"/>
    </row>
    <row r="1672">
      <c r="A1672" s="11" t="str">
        <f t="shared" si="1"/>
        <v/>
      </c>
      <c r="B1672" s="16"/>
      <c r="C1672" s="16"/>
      <c r="D1672" s="16"/>
      <c r="E1672" s="16"/>
      <c r="F1672" s="17"/>
      <c r="G1672" s="17"/>
      <c r="H1672" s="17"/>
      <c r="I1672" s="17"/>
      <c r="J1672" s="17"/>
      <c r="K1672" s="17"/>
      <c r="L1672" s="17"/>
    </row>
    <row r="1673">
      <c r="A1673" s="11" t="str">
        <f t="shared" si="1"/>
        <v/>
      </c>
      <c r="B1673" s="16"/>
      <c r="C1673" s="16"/>
      <c r="D1673" s="16"/>
      <c r="E1673" s="16"/>
      <c r="F1673" s="17"/>
      <c r="G1673" s="17"/>
      <c r="H1673" s="17"/>
      <c r="I1673" s="17"/>
      <c r="J1673" s="17"/>
      <c r="K1673" s="17"/>
      <c r="L1673" s="17"/>
    </row>
    <row r="1674">
      <c r="A1674" s="11" t="str">
        <f t="shared" si="1"/>
        <v/>
      </c>
      <c r="B1674" s="16"/>
      <c r="C1674" s="16"/>
      <c r="D1674" s="16"/>
      <c r="E1674" s="16"/>
      <c r="F1674" s="17"/>
      <c r="G1674" s="17"/>
      <c r="H1674" s="17"/>
      <c r="I1674" s="17"/>
      <c r="J1674" s="17"/>
      <c r="K1674" s="17"/>
      <c r="L1674" s="17"/>
    </row>
    <row r="1675">
      <c r="A1675" s="11" t="str">
        <f t="shared" si="1"/>
        <v/>
      </c>
      <c r="B1675" s="16"/>
      <c r="C1675" s="16"/>
      <c r="D1675" s="16"/>
      <c r="E1675" s="16"/>
      <c r="F1675" s="17"/>
      <c r="G1675" s="17"/>
      <c r="H1675" s="17"/>
      <c r="I1675" s="17"/>
      <c r="J1675" s="17"/>
      <c r="K1675" s="17"/>
      <c r="L1675" s="17"/>
    </row>
    <row r="1676">
      <c r="A1676" s="11" t="str">
        <f t="shared" si="1"/>
        <v/>
      </c>
      <c r="B1676" s="16"/>
      <c r="C1676" s="16"/>
      <c r="D1676" s="16"/>
      <c r="E1676" s="16"/>
      <c r="F1676" s="17"/>
      <c r="G1676" s="17"/>
      <c r="H1676" s="17"/>
      <c r="I1676" s="17"/>
      <c r="J1676" s="17"/>
      <c r="K1676" s="17"/>
      <c r="L1676" s="17"/>
    </row>
    <row r="1677">
      <c r="A1677" s="11" t="str">
        <f t="shared" si="1"/>
        <v/>
      </c>
      <c r="B1677" s="16"/>
      <c r="C1677" s="16"/>
      <c r="D1677" s="16"/>
      <c r="E1677" s="16"/>
      <c r="F1677" s="17"/>
      <c r="G1677" s="17"/>
      <c r="H1677" s="17"/>
      <c r="I1677" s="17"/>
      <c r="J1677" s="17"/>
      <c r="K1677" s="17"/>
      <c r="L1677" s="17"/>
    </row>
    <row r="1678">
      <c r="A1678" s="11" t="str">
        <f t="shared" si="1"/>
        <v/>
      </c>
      <c r="B1678" s="16"/>
      <c r="C1678" s="16"/>
      <c r="D1678" s="16"/>
      <c r="E1678" s="16"/>
      <c r="F1678" s="17"/>
      <c r="G1678" s="17"/>
      <c r="H1678" s="17"/>
      <c r="I1678" s="17"/>
      <c r="J1678" s="17"/>
      <c r="K1678" s="17"/>
      <c r="L1678" s="17"/>
    </row>
    <row r="1679">
      <c r="A1679" s="11" t="str">
        <f t="shared" si="1"/>
        <v/>
      </c>
      <c r="B1679" s="16"/>
      <c r="C1679" s="16"/>
      <c r="D1679" s="16"/>
      <c r="E1679" s="16"/>
      <c r="F1679" s="17"/>
      <c r="G1679" s="17"/>
      <c r="H1679" s="17"/>
      <c r="I1679" s="17"/>
      <c r="J1679" s="17"/>
      <c r="K1679" s="17"/>
      <c r="L1679" s="17"/>
    </row>
    <row r="1680">
      <c r="A1680" s="11" t="str">
        <f t="shared" si="1"/>
        <v/>
      </c>
      <c r="B1680" s="16"/>
      <c r="C1680" s="16"/>
      <c r="D1680" s="16"/>
      <c r="E1680" s="16"/>
      <c r="F1680" s="17"/>
      <c r="G1680" s="17"/>
      <c r="H1680" s="17"/>
      <c r="I1680" s="17"/>
      <c r="J1680" s="17"/>
      <c r="K1680" s="17"/>
      <c r="L1680" s="17"/>
    </row>
    <row r="1681">
      <c r="A1681" s="11" t="str">
        <f t="shared" si="1"/>
        <v/>
      </c>
      <c r="B1681" s="16"/>
      <c r="C1681" s="16"/>
      <c r="D1681" s="16"/>
      <c r="E1681" s="16"/>
      <c r="F1681" s="17"/>
      <c r="G1681" s="17"/>
      <c r="H1681" s="17"/>
      <c r="I1681" s="17"/>
      <c r="J1681" s="17"/>
      <c r="K1681" s="17"/>
      <c r="L1681" s="17"/>
    </row>
    <row r="1682">
      <c r="A1682" s="11" t="str">
        <f t="shared" si="1"/>
        <v/>
      </c>
      <c r="B1682" s="16"/>
      <c r="C1682" s="16"/>
      <c r="D1682" s="16"/>
      <c r="E1682" s="16"/>
      <c r="F1682" s="17"/>
      <c r="G1682" s="17"/>
      <c r="H1682" s="17"/>
      <c r="I1682" s="17"/>
      <c r="J1682" s="17"/>
      <c r="K1682" s="17"/>
      <c r="L1682" s="17"/>
    </row>
    <row r="1683">
      <c r="A1683" s="11" t="str">
        <f t="shared" si="1"/>
        <v/>
      </c>
      <c r="B1683" s="16"/>
      <c r="C1683" s="16"/>
      <c r="D1683" s="16"/>
      <c r="E1683" s="16"/>
      <c r="F1683" s="17"/>
      <c r="G1683" s="17"/>
      <c r="H1683" s="17"/>
      <c r="I1683" s="17"/>
      <c r="J1683" s="17"/>
      <c r="K1683" s="17"/>
      <c r="L1683" s="17"/>
    </row>
    <row r="1684">
      <c r="A1684" s="11" t="str">
        <f t="shared" si="1"/>
        <v/>
      </c>
      <c r="B1684" s="16"/>
      <c r="C1684" s="16"/>
      <c r="D1684" s="16"/>
      <c r="E1684" s="16"/>
      <c r="F1684" s="17"/>
      <c r="G1684" s="17"/>
      <c r="H1684" s="17"/>
      <c r="I1684" s="17"/>
      <c r="J1684" s="17"/>
      <c r="K1684" s="17"/>
      <c r="L1684" s="17"/>
    </row>
    <row r="1685">
      <c r="A1685" s="11" t="str">
        <f t="shared" si="1"/>
        <v/>
      </c>
      <c r="B1685" s="16"/>
      <c r="C1685" s="16"/>
      <c r="D1685" s="16"/>
      <c r="E1685" s="16"/>
      <c r="F1685" s="17"/>
      <c r="G1685" s="17"/>
      <c r="H1685" s="17"/>
      <c r="I1685" s="17"/>
      <c r="J1685" s="17"/>
      <c r="K1685" s="17"/>
      <c r="L1685" s="17"/>
    </row>
    <row r="1686">
      <c r="A1686" s="11" t="str">
        <f t="shared" si="1"/>
        <v/>
      </c>
      <c r="B1686" s="16"/>
      <c r="C1686" s="16"/>
      <c r="D1686" s="16"/>
      <c r="E1686" s="16"/>
      <c r="F1686" s="17"/>
      <c r="G1686" s="17"/>
      <c r="H1686" s="17"/>
      <c r="I1686" s="17"/>
      <c r="J1686" s="17"/>
      <c r="K1686" s="17"/>
      <c r="L1686" s="17"/>
    </row>
    <row r="1687">
      <c r="A1687" s="11" t="str">
        <f t="shared" si="1"/>
        <v/>
      </c>
      <c r="B1687" s="16"/>
      <c r="C1687" s="16"/>
      <c r="D1687" s="16"/>
      <c r="E1687" s="16"/>
      <c r="F1687" s="17"/>
      <c r="G1687" s="17"/>
      <c r="H1687" s="17"/>
      <c r="I1687" s="17"/>
      <c r="J1687" s="17"/>
      <c r="K1687" s="17"/>
      <c r="L1687" s="17"/>
    </row>
    <row r="1688">
      <c r="A1688" s="11" t="str">
        <f t="shared" si="1"/>
        <v/>
      </c>
      <c r="B1688" s="16"/>
      <c r="C1688" s="16"/>
      <c r="D1688" s="16"/>
      <c r="E1688" s="16"/>
      <c r="F1688" s="17"/>
      <c r="G1688" s="17"/>
      <c r="H1688" s="17"/>
      <c r="I1688" s="17"/>
      <c r="J1688" s="17"/>
      <c r="K1688" s="17"/>
      <c r="L1688" s="17"/>
    </row>
    <row r="1689">
      <c r="A1689" s="11" t="str">
        <f t="shared" si="1"/>
        <v/>
      </c>
      <c r="B1689" s="16"/>
      <c r="C1689" s="16"/>
      <c r="D1689" s="16"/>
      <c r="E1689" s="16"/>
      <c r="F1689" s="17"/>
      <c r="G1689" s="17"/>
      <c r="H1689" s="17"/>
      <c r="I1689" s="17"/>
      <c r="J1689" s="17"/>
      <c r="K1689" s="17"/>
      <c r="L1689" s="17"/>
    </row>
    <row r="1690">
      <c r="A1690" s="11" t="str">
        <f t="shared" si="1"/>
        <v/>
      </c>
      <c r="B1690" s="16"/>
      <c r="C1690" s="16"/>
      <c r="D1690" s="16"/>
      <c r="E1690" s="16"/>
      <c r="F1690" s="17"/>
      <c r="G1690" s="17"/>
      <c r="H1690" s="17"/>
      <c r="I1690" s="17"/>
      <c r="J1690" s="17"/>
      <c r="K1690" s="17"/>
      <c r="L1690" s="17"/>
    </row>
    <row r="1691">
      <c r="A1691" s="11" t="str">
        <f t="shared" si="1"/>
        <v/>
      </c>
      <c r="B1691" s="16"/>
      <c r="C1691" s="16"/>
      <c r="D1691" s="16"/>
      <c r="E1691" s="16"/>
      <c r="F1691" s="17"/>
      <c r="G1691" s="17"/>
      <c r="H1691" s="17"/>
      <c r="I1691" s="17"/>
      <c r="J1691" s="17"/>
      <c r="K1691" s="17"/>
      <c r="L1691" s="17"/>
    </row>
    <row r="1692">
      <c r="A1692" s="11" t="str">
        <f t="shared" si="1"/>
        <v/>
      </c>
      <c r="B1692" s="16"/>
      <c r="C1692" s="16"/>
      <c r="D1692" s="16"/>
      <c r="E1692" s="16"/>
      <c r="F1692" s="17"/>
      <c r="G1692" s="17"/>
      <c r="H1692" s="17"/>
      <c r="I1692" s="17"/>
      <c r="J1692" s="17"/>
      <c r="K1692" s="17"/>
      <c r="L1692" s="17"/>
    </row>
    <row r="1693">
      <c r="A1693" s="11" t="str">
        <f t="shared" si="1"/>
        <v/>
      </c>
      <c r="B1693" s="16"/>
      <c r="C1693" s="16"/>
      <c r="D1693" s="16"/>
      <c r="E1693" s="16"/>
      <c r="F1693" s="17"/>
      <c r="G1693" s="17"/>
      <c r="H1693" s="17"/>
      <c r="I1693" s="17"/>
      <c r="J1693" s="17"/>
      <c r="K1693" s="17"/>
      <c r="L1693" s="17"/>
    </row>
    <row r="1694">
      <c r="A1694" s="11" t="str">
        <f t="shared" si="1"/>
        <v/>
      </c>
      <c r="B1694" s="16"/>
      <c r="C1694" s="16"/>
      <c r="D1694" s="16"/>
      <c r="E1694" s="16"/>
      <c r="F1694" s="17"/>
      <c r="G1694" s="17"/>
      <c r="H1694" s="17"/>
      <c r="I1694" s="17"/>
      <c r="J1694" s="17"/>
      <c r="K1694" s="17"/>
      <c r="L1694" s="17"/>
    </row>
    <row r="1695">
      <c r="A1695" s="11" t="str">
        <f t="shared" si="1"/>
        <v/>
      </c>
      <c r="B1695" s="16"/>
      <c r="C1695" s="16"/>
      <c r="D1695" s="16"/>
      <c r="E1695" s="16"/>
      <c r="F1695" s="17"/>
      <c r="G1695" s="17"/>
      <c r="H1695" s="17"/>
      <c r="I1695" s="17"/>
      <c r="J1695" s="17"/>
      <c r="K1695" s="17"/>
      <c r="L1695" s="17"/>
    </row>
    <row r="1696">
      <c r="A1696" s="11" t="str">
        <f t="shared" si="1"/>
        <v/>
      </c>
      <c r="B1696" s="16"/>
      <c r="C1696" s="16"/>
      <c r="D1696" s="16"/>
      <c r="E1696" s="16"/>
      <c r="F1696" s="17"/>
      <c r="G1696" s="17"/>
      <c r="H1696" s="17"/>
      <c r="I1696" s="17"/>
      <c r="J1696" s="17"/>
      <c r="K1696" s="17"/>
      <c r="L1696" s="17"/>
    </row>
    <row r="1697">
      <c r="A1697" s="11" t="str">
        <f t="shared" si="1"/>
        <v/>
      </c>
      <c r="B1697" s="16"/>
      <c r="C1697" s="16"/>
      <c r="D1697" s="16"/>
      <c r="E1697" s="16"/>
      <c r="F1697" s="17"/>
      <c r="G1697" s="17"/>
      <c r="H1697" s="17"/>
      <c r="I1697" s="17"/>
      <c r="J1697" s="17"/>
      <c r="K1697" s="17"/>
      <c r="L1697" s="17"/>
    </row>
    <row r="1698">
      <c r="A1698" s="11" t="str">
        <f t="shared" si="1"/>
        <v/>
      </c>
      <c r="B1698" s="16"/>
      <c r="C1698" s="16"/>
      <c r="D1698" s="16"/>
      <c r="E1698" s="16"/>
      <c r="F1698" s="17"/>
      <c r="G1698" s="17"/>
      <c r="H1698" s="17"/>
      <c r="I1698" s="17"/>
      <c r="J1698" s="17"/>
      <c r="K1698" s="17"/>
      <c r="L1698" s="17"/>
    </row>
    <row r="1699">
      <c r="A1699" s="11" t="str">
        <f t="shared" si="1"/>
        <v/>
      </c>
      <c r="B1699" s="16"/>
      <c r="C1699" s="16"/>
      <c r="D1699" s="16"/>
      <c r="E1699" s="16"/>
      <c r="F1699" s="17"/>
      <c r="G1699" s="17"/>
      <c r="H1699" s="17"/>
      <c r="I1699" s="17"/>
      <c r="J1699" s="17"/>
      <c r="K1699" s="17"/>
      <c r="L1699" s="17"/>
    </row>
    <row r="1700">
      <c r="A1700" s="11" t="str">
        <f t="shared" si="1"/>
        <v/>
      </c>
      <c r="B1700" s="16"/>
      <c r="C1700" s="16"/>
      <c r="D1700" s="16"/>
      <c r="E1700" s="16"/>
      <c r="F1700" s="17"/>
      <c r="G1700" s="17"/>
      <c r="H1700" s="17"/>
      <c r="I1700" s="17"/>
      <c r="J1700" s="17"/>
      <c r="K1700" s="17"/>
      <c r="L1700" s="17"/>
    </row>
    <row r="1701">
      <c r="A1701" s="11" t="str">
        <f t="shared" si="1"/>
        <v/>
      </c>
      <c r="B1701" s="16"/>
      <c r="C1701" s="16"/>
      <c r="D1701" s="16"/>
      <c r="E1701" s="16"/>
      <c r="F1701" s="17"/>
      <c r="G1701" s="17"/>
      <c r="H1701" s="17"/>
      <c r="I1701" s="17"/>
      <c r="J1701" s="17"/>
      <c r="K1701" s="17"/>
      <c r="L1701" s="17"/>
    </row>
    <row r="1702">
      <c r="A1702" s="11" t="str">
        <f t="shared" si="1"/>
        <v/>
      </c>
      <c r="B1702" s="16"/>
      <c r="C1702" s="16"/>
      <c r="D1702" s="16"/>
      <c r="E1702" s="16"/>
      <c r="F1702" s="17"/>
      <c r="G1702" s="17"/>
      <c r="H1702" s="17"/>
      <c r="I1702" s="17"/>
      <c r="J1702" s="17"/>
      <c r="K1702" s="17"/>
      <c r="L1702" s="17"/>
    </row>
    <row r="1703">
      <c r="A1703" s="11" t="str">
        <f t="shared" si="1"/>
        <v/>
      </c>
      <c r="B1703" s="16"/>
      <c r="C1703" s="16"/>
      <c r="D1703" s="16"/>
      <c r="E1703" s="16"/>
      <c r="F1703" s="17"/>
      <c r="G1703" s="17"/>
      <c r="H1703" s="17"/>
      <c r="I1703" s="17"/>
      <c r="J1703" s="17"/>
      <c r="K1703" s="17"/>
      <c r="L1703" s="17"/>
    </row>
    <row r="1704">
      <c r="A1704" s="11" t="str">
        <f t="shared" si="1"/>
        <v/>
      </c>
      <c r="B1704" s="16"/>
      <c r="C1704" s="16"/>
      <c r="D1704" s="16"/>
      <c r="E1704" s="16"/>
      <c r="F1704" s="17"/>
      <c r="G1704" s="17"/>
      <c r="H1704" s="17"/>
      <c r="I1704" s="17"/>
      <c r="J1704" s="17"/>
      <c r="K1704" s="17"/>
      <c r="L1704" s="17"/>
    </row>
    <row r="1705">
      <c r="A1705" s="11" t="str">
        <f t="shared" si="1"/>
        <v/>
      </c>
      <c r="B1705" s="16"/>
      <c r="C1705" s="16"/>
      <c r="D1705" s="16"/>
      <c r="E1705" s="16"/>
      <c r="F1705" s="17"/>
      <c r="G1705" s="17"/>
      <c r="H1705" s="17"/>
      <c r="I1705" s="17"/>
      <c r="J1705" s="17"/>
      <c r="K1705" s="17"/>
      <c r="L1705" s="17"/>
    </row>
    <row r="1706">
      <c r="A1706" s="11" t="str">
        <f t="shared" si="1"/>
        <v/>
      </c>
      <c r="B1706" s="16"/>
      <c r="C1706" s="16"/>
      <c r="D1706" s="16"/>
      <c r="E1706" s="16"/>
      <c r="F1706" s="17"/>
      <c r="G1706" s="17"/>
      <c r="H1706" s="17"/>
      <c r="I1706" s="17"/>
      <c r="J1706" s="17"/>
      <c r="K1706" s="17"/>
      <c r="L1706" s="17"/>
    </row>
    <row r="1707">
      <c r="A1707" s="11" t="str">
        <f t="shared" si="1"/>
        <v/>
      </c>
      <c r="B1707" s="16"/>
      <c r="C1707" s="16"/>
      <c r="D1707" s="16"/>
      <c r="E1707" s="16"/>
      <c r="F1707" s="17"/>
      <c r="G1707" s="17"/>
      <c r="H1707" s="17"/>
      <c r="I1707" s="17"/>
      <c r="J1707" s="17"/>
      <c r="K1707" s="17"/>
      <c r="L1707" s="17"/>
    </row>
    <row r="1708">
      <c r="A1708" s="11" t="str">
        <f t="shared" si="1"/>
        <v/>
      </c>
      <c r="B1708" s="16"/>
      <c r="C1708" s="16"/>
      <c r="D1708" s="16"/>
      <c r="E1708" s="16"/>
      <c r="F1708" s="17"/>
      <c r="G1708" s="17"/>
      <c r="H1708" s="17"/>
      <c r="I1708" s="17"/>
      <c r="J1708" s="17"/>
      <c r="K1708" s="17"/>
      <c r="L1708" s="17"/>
    </row>
    <row r="1709">
      <c r="A1709" s="11" t="str">
        <f t="shared" si="1"/>
        <v/>
      </c>
      <c r="B1709" s="16"/>
      <c r="C1709" s="16"/>
      <c r="D1709" s="16"/>
      <c r="E1709" s="16"/>
      <c r="F1709" s="17"/>
      <c r="G1709" s="17"/>
      <c r="H1709" s="17"/>
      <c r="I1709" s="17"/>
      <c r="J1709" s="17"/>
      <c r="K1709" s="17"/>
      <c r="L1709" s="17"/>
    </row>
    <row r="1710">
      <c r="A1710" s="11" t="str">
        <f t="shared" si="1"/>
        <v/>
      </c>
      <c r="B1710" s="16"/>
      <c r="C1710" s="16"/>
      <c r="D1710" s="16"/>
      <c r="E1710" s="16"/>
      <c r="F1710" s="17"/>
      <c r="G1710" s="17"/>
      <c r="H1710" s="17"/>
      <c r="I1710" s="17"/>
      <c r="J1710" s="17"/>
      <c r="K1710" s="17"/>
      <c r="L1710" s="17"/>
    </row>
    <row r="1711">
      <c r="A1711" s="11" t="str">
        <f t="shared" si="1"/>
        <v/>
      </c>
      <c r="B1711" s="16"/>
      <c r="C1711" s="16"/>
      <c r="D1711" s="16"/>
      <c r="E1711" s="16"/>
      <c r="F1711" s="17"/>
      <c r="G1711" s="17"/>
      <c r="H1711" s="17"/>
      <c r="I1711" s="17"/>
      <c r="J1711" s="17"/>
      <c r="K1711" s="17"/>
      <c r="L1711" s="17"/>
    </row>
    <row r="1712">
      <c r="A1712" s="11" t="str">
        <f t="shared" si="1"/>
        <v/>
      </c>
      <c r="B1712" s="16"/>
      <c r="C1712" s="16"/>
      <c r="D1712" s="16"/>
      <c r="E1712" s="16"/>
      <c r="F1712" s="17"/>
      <c r="G1712" s="17"/>
      <c r="H1712" s="17"/>
      <c r="I1712" s="17"/>
      <c r="J1712" s="17"/>
      <c r="K1712" s="17"/>
      <c r="L1712" s="17"/>
    </row>
    <row r="1713">
      <c r="A1713" s="11" t="str">
        <f t="shared" si="1"/>
        <v/>
      </c>
      <c r="B1713" s="16"/>
      <c r="C1713" s="16"/>
      <c r="D1713" s="16"/>
      <c r="E1713" s="16"/>
      <c r="F1713" s="17"/>
      <c r="G1713" s="17"/>
      <c r="H1713" s="17"/>
      <c r="I1713" s="17"/>
      <c r="J1713" s="17"/>
      <c r="K1713" s="17"/>
      <c r="L1713" s="17"/>
    </row>
    <row r="1714">
      <c r="A1714" s="11" t="str">
        <f t="shared" si="1"/>
        <v/>
      </c>
      <c r="B1714" s="16"/>
      <c r="C1714" s="16"/>
      <c r="D1714" s="16"/>
      <c r="E1714" s="16"/>
      <c r="F1714" s="17"/>
      <c r="G1714" s="17"/>
      <c r="H1714" s="17"/>
      <c r="I1714" s="17"/>
      <c r="J1714" s="17"/>
      <c r="K1714" s="17"/>
      <c r="L1714" s="17"/>
    </row>
    <row r="1715">
      <c r="A1715" s="11" t="str">
        <f t="shared" si="1"/>
        <v/>
      </c>
      <c r="B1715" s="16"/>
      <c r="C1715" s="16"/>
      <c r="D1715" s="16"/>
      <c r="E1715" s="16"/>
      <c r="F1715" s="17"/>
      <c r="G1715" s="17"/>
      <c r="H1715" s="17"/>
      <c r="I1715" s="17"/>
      <c r="J1715" s="17"/>
      <c r="K1715" s="17"/>
      <c r="L1715" s="17"/>
    </row>
    <row r="1716">
      <c r="A1716" s="11" t="str">
        <f t="shared" si="1"/>
        <v/>
      </c>
      <c r="B1716" s="16"/>
      <c r="C1716" s="16"/>
      <c r="D1716" s="16"/>
      <c r="E1716" s="16"/>
      <c r="F1716" s="17"/>
      <c r="G1716" s="17"/>
      <c r="H1716" s="17"/>
      <c r="I1716" s="17"/>
      <c r="J1716" s="17"/>
      <c r="K1716" s="17"/>
      <c r="L1716" s="17"/>
    </row>
    <row r="1717">
      <c r="A1717" s="11" t="str">
        <f t="shared" si="1"/>
        <v/>
      </c>
      <c r="B1717" s="16"/>
      <c r="C1717" s="16"/>
      <c r="D1717" s="16"/>
      <c r="E1717" s="16"/>
      <c r="F1717" s="17"/>
      <c r="G1717" s="17"/>
      <c r="H1717" s="17"/>
      <c r="I1717" s="17"/>
      <c r="J1717" s="17"/>
      <c r="K1717" s="17"/>
      <c r="L1717" s="17"/>
    </row>
    <row r="1718">
      <c r="A1718" s="11" t="str">
        <f t="shared" si="1"/>
        <v/>
      </c>
      <c r="B1718" s="16"/>
      <c r="C1718" s="16"/>
      <c r="D1718" s="16"/>
      <c r="E1718" s="16"/>
      <c r="F1718" s="17"/>
      <c r="G1718" s="17"/>
      <c r="H1718" s="17"/>
      <c r="I1718" s="17"/>
      <c r="J1718" s="17"/>
      <c r="K1718" s="17"/>
      <c r="L1718" s="17"/>
    </row>
    <row r="1719">
      <c r="A1719" s="11" t="str">
        <f t="shared" si="1"/>
        <v/>
      </c>
      <c r="B1719" s="16"/>
      <c r="C1719" s="16"/>
      <c r="D1719" s="16"/>
      <c r="E1719" s="16"/>
      <c r="F1719" s="17"/>
      <c r="G1719" s="17"/>
      <c r="H1719" s="17"/>
      <c r="I1719" s="17"/>
      <c r="J1719" s="17"/>
      <c r="K1719" s="17"/>
      <c r="L1719" s="17"/>
    </row>
    <row r="1720">
      <c r="A1720" s="11" t="str">
        <f t="shared" si="1"/>
        <v/>
      </c>
      <c r="B1720" s="16"/>
      <c r="C1720" s="16"/>
      <c r="D1720" s="16"/>
      <c r="E1720" s="16"/>
      <c r="F1720" s="17"/>
      <c r="G1720" s="17"/>
      <c r="H1720" s="17"/>
      <c r="I1720" s="17"/>
      <c r="J1720" s="17"/>
      <c r="K1720" s="17"/>
      <c r="L1720" s="17"/>
    </row>
    <row r="1721">
      <c r="A1721" s="11" t="str">
        <f t="shared" si="1"/>
        <v/>
      </c>
      <c r="B1721" s="16"/>
      <c r="C1721" s="16"/>
      <c r="D1721" s="16"/>
      <c r="E1721" s="16"/>
      <c r="F1721" s="17"/>
      <c r="G1721" s="17"/>
      <c r="H1721" s="17"/>
      <c r="I1721" s="17"/>
      <c r="J1721" s="17"/>
      <c r="K1721" s="17"/>
      <c r="L1721" s="17"/>
    </row>
    <row r="1722">
      <c r="A1722" s="11" t="str">
        <f t="shared" si="1"/>
        <v/>
      </c>
      <c r="B1722" s="16"/>
      <c r="C1722" s="16"/>
      <c r="D1722" s="16"/>
      <c r="E1722" s="16"/>
      <c r="F1722" s="17"/>
      <c r="G1722" s="17"/>
      <c r="H1722" s="17"/>
      <c r="I1722" s="17"/>
      <c r="J1722" s="17"/>
      <c r="K1722" s="17"/>
      <c r="L1722" s="17"/>
    </row>
    <row r="1723">
      <c r="A1723" s="11" t="str">
        <f t="shared" si="1"/>
        <v/>
      </c>
      <c r="B1723" s="16"/>
      <c r="C1723" s="16"/>
      <c r="D1723" s="16"/>
      <c r="E1723" s="16"/>
      <c r="F1723" s="17"/>
      <c r="G1723" s="17"/>
      <c r="H1723" s="17"/>
      <c r="I1723" s="17"/>
      <c r="J1723" s="17"/>
      <c r="K1723" s="17"/>
      <c r="L1723" s="17"/>
    </row>
    <row r="1724">
      <c r="A1724" s="11" t="str">
        <f t="shared" si="1"/>
        <v/>
      </c>
      <c r="B1724" s="16"/>
      <c r="C1724" s="16"/>
      <c r="D1724" s="16"/>
      <c r="E1724" s="16"/>
      <c r="F1724" s="17"/>
      <c r="G1724" s="17"/>
      <c r="H1724" s="17"/>
      <c r="I1724" s="17"/>
      <c r="J1724" s="17"/>
      <c r="K1724" s="17"/>
      <c r="L1724" s="17"/>
    </row>
    <row r="1725">
      <c r="A1725" s="11" t="str">
        <f t="shared" si="1"/>
        <v/>
      </c>
      <c r="B1725" s="16"/>
      <c r="C1725" s="16"/>
      <c r="D1725" s="16"/>
      <c r="E1725" s="16"/>
      <c r="F1725" s="17"/>
      <c r="G1725" s="17"/>
      <c r="H1725" s="17"/>
      <c r="I1725" s="17"/>
      <c r="J1725" s="17"/>
      <c r="K1725" s="17"/>
      <c r="L1725" s="17"/>
    </row>
    <row r="1726">
      <c r="A1726" s="11" t="str">
        <f t="shared" si="1"/>
        <v/>
      </c>
      <c r="B1726" s="16"/>
      <c r="C1726" s="16"/>
      <c r="D1726" s="16"/>
      <c r="E1726" s="16"/>
      <c r="F1726" s="17"/>
      <c r="G1726" s="17"/>
      <c r="H1726" s="17"/>
      <c r="I1726" s="17"/>
      <c r="J1726" s="17"/>
      <c r="K1726" s="17"/>
      <c r="L1726" s="17"/>
    </row>
    <row r="1727">
      <c r="A1727" s="11" t="str">
        <f t="shared" si="1"/>
        <v/>
      </c>
      <c r="B1727" s="16"/>
      <c r="C1727" s="16"/>
      <c r="D1727" s="16"/>
      <c r="E1727" s="16"/>
      <c r="F1727" s="17"/>
      <c r="G1727" s="17"/>
      <c r="H1727" s="17"/>
      <c r="I1727" s="17"/>
      <c r="J1727" s="17"/>
      <c r="K1727" s="17"/>
      <c r="L1727" s="17"/>
    </row>
    <row r="1728">
      <c r="A1728" s="11" t="str">
        <f t="shared" si="1"/>
        <v/>
      </c>
      <c r="B1728" s="16"/>
      <c r="C1728" s="16"/>
      <c r="D1728" s="16"/>
      <c r="E1728" s="16"/>
      <c r="F1728" s="17"/>
      <c r="G1728" s="17"/>
      <c r="H1728" s="17"/>
      <c r="I1728" s="17"/>
      <c r="J1728" s="17"/>
      <c r="K1728" s="17"/>
      <c r="L1728" s="17"/>
    </row>
    <row r="1729">
      <c r="A1729" s="11" t="str">
        <f t="shared" si="1"/>
        <v/>
      </c>
      <c r="B1729" s="16"/>
      <c r="C1729" s="16"/>
      <c r="D1729" s="16"/>
      <c r="E1729" s="16"/>
      <c r="F1729" s="17"/>
      <c r="G1729" s="17"/>
      <c r="H1729" s="17"/>
      <c r="I1729" s="17"/>
      <c r="J1729" s="17"/>
      <c r="K1729" s="17"/>
      <c r="L1729" s="17"/>
    </row>
    <row r="1730">
      <c r="A1730" s="11" t="str">
        <f t="shared" si="1"/>
        <v/>
      </c>
      <c r="B1730" s="16"/>
      <c r="C1730" s="16"/>
      <c r="D1730" s="16"/>
      <c r="E1730" s="16"/>
      <c r="F1730" s="17"/>
      <c r="G1730" s="17"/>
      <c r="H1730" s="17"/>
      <c r="I1730" s="17"/>
      <c r="J1730" s="17"/>
      <c r="K1730" s="17"/>
      <c r="L1730" s="17"/>
    </row>
    <row r="1731">
      <c r="A1731" s="11" t="str">
        <f t="shared" si="1"/>
        <v/>
      </c>
      <c r="B1731" s="16"/>
      <c r="C1731" s="16"/>
      <c r="D1731" s="16"/>
      <c r="E1731" s="16"/>
      <c r="F1731" s="17"/>
      <c r="G1731" s="17"/>
      <c r="H1731" s="17"/>
      <c r="I1731" s="17"/>
      <c r="J1731" s="17"/>
      <c r="K1731" s="17"/>
      <c r="L1731" s="17"/>
    </row>
    <row r="1732">
      <c r="A1732" s="11" t="str">
        <f t="shared" si="1"/>
        <v/>
      </c>
      <c r="B1732" s="16"/>
      <c r="C1732" s="16"/>
      <c r="D1732" s="16"/>
      <c r="E1732" s="16"/>
      <c r="F1732" s="17"/>
      <c r="G1732" s="17"/>
      <c r="H1732" s="17"/>
      <c r="I1732" s="17"/>
      <c r="J1732" s="17"/>
      <c r="K1732" s="17"/>
      <c r="L1732" s="17"/>
    </row>
    <row r="1733">
      <c r="A1733" s="11" t="str">
        <f t="shared" si="1"/>
        <v/>
      </c>
      <c r="B1733" s="16"/>
      <c r="C1733" s="16"/>
      <c r="D1733" s="16"/>
      <c r="E1733" s="16"/>
      <c r="F1733" s="17"/>
      <c r="G1733" s="17"/>
      <c r="H1733" s="17"/>
      <c r="I1733" s="17"/>
      <c r="J1733" s="17"/>
      <c r="K1733" s="17"/>
      <c r="L1733" s="17"/>
    </row>
    <row r="1734">
      <c r="A1734" s="11" t="str">
        <f t="shared" si="1"/>
        <v/>
      </c>
      <c r="B1734" s="16"/>
      <c r="C1734" s="16"/>
      <c r="D1734" s="16"/>
      <c r="E1734" s="16"/>
      <c r="F1734" s="17"/>
      <c r="G1734" s="17"/>
      <c r="H1734" s="17"/>
      <c r="I1734" s="17"/>
      <c r="J1734" s="17"/>
      <c r="K1734" s="17"/>
      <c r="L1734" s="17"/>
    </row>
    <row r="1735">
      <c r="A1735" s="11" t="str">
        <f t="shared" si="1"/>
        <v/>
      </c>
      <c r="B1735" s="16"/>
      <c r="C1735" s="16"/>
      <c r="D1735" s="16"/>
      <c r="E1735" s="16"/>
      <c r="F1735" s="17"/>
      <c r="G1735" s="17"/>
      <c r="H1735" s="17"/>
      <c r="I1735" s="17"/>
      <c r="J1735" s="17"/>
      <c r="K1735" s="17"/>
      <c r="L1735" s="17"/>
    </row>
    <row r="1736">
      <c r="A1736" s="11" t="str">
        <f t="shared" si="1"/>
        <v/>
      </c>
      <c r="B1736" s="16"/>
      <c r="C1736" s="16"/>
      <c r="D1736" s="16"/>
      <c r="E1736" s="16"/>
      <c r="F1736" s="17"/>
      <c r="G1736" s="17"/>
      <c r="H1736" s="17"/>
      <c r="I1736" s="17"/>
      <c r="J1736" s="17"/>
      <c r="K1736" s="17"/>
      <c r="L1736" s="17"/>
    </row>
    <row r="1737">
      <c r="A1737" s="11" t="str">
        <f t="shared" si="1"/>
        <v/>
      </c>
      <c r="B1737" s="16"/>
      <c r="C1737" s="16"/>
      <c r="D1737" s="16"/>
      <c r="E1737" s="16"/>
      <c r="F1737" s="17"/>
      <c r="G1737" s="17"/>
      <c r="H1737" s="17"/>
      <c r="I1737" s="17"/>
      <c r="J1737" s="17"/>
      <c r="K1737" s="17"/>
      <c r="L1737" s="17"/>
    </row>
    <row r="1738">
      <c r="A1738" s="11" t="str">
        <f t="shared" si="1"/>
        <v/>
      </c>
      <c r="B1738" s="16"/>
      <c r="C1738" s="16"/>
      <c r="D1738" s="16"/>
      <c r="E1738" s="16"/>
      <c r="F1738" s="17"/>
      <c r="G1738" s="17"/>
      <c r="H1738" s="17"/>
      <c r="I1738" s="17"/>
      <c r="J1738" s="17"/>
      <c r="K1738" s="17"/>
      <c r="L1738" s="17"/>
    </row>
    <row r="1739">
      <c r="A1739" s="11" t="str">
        <f t="shared" si="1"/>
        <v/>
      </c>
      <c r="B1739" s="16"/>
      <c r="C1739" s="16"/>
      <c r="D1739" s="16"/>
      <c r="E1739" s="16"/>
      <c r="F1739" s="17"/>
      <c r="G1739" s="17"/>
      <c r="H1739" s="17"/>
      <c r="I1739" s="17"/>
      <c r="J1739" s="17"/>
      <c r="K1739" s="17"/>
      <c r="L1739" s="17"/>
    </row>
    <row r="1740">
      <c r="A1740" s="11" t="str">
        <f t="shared" si="1"/>
        <v/>
      </c>
      <c r="B1740" s="16"/>
      <c r="C1740" s="16"/>
      <c r="D1740" s="16"/>
      <c r="E1740" s="16"/>
      <c r="F1740" s="17"/>
      <c r="G1740" s="17"/>
      <c r="H1740" s="17"/>
      <c r="I1740" s="17"/>
      <c r="J1740" s="17"/>
      <c r="K1740" s="17"/>
      <c r="L1740" s="17"/>
    </row>
    <row r="1741">
      <c r="A1741" s="11" t="str">
        <f t="shared" si="1"/>
        <v/>
      </c>
      <c r="B1741" s="16"/>
      <c r="C1741" s="16"/>
      <c r="D1741" s="16"/>
      <c r="E1741" s="16"/>
      <c r="F1741" s="17"/>
      <c r="G1741" s="17"/>
      <c r="H1741" s="17"/>
      <c r="I1741" s="17"/>
      <c r="J1741" s="17"/>
      <c r="K1741" s="17"/>
      <c r="L1741" s="17"/>
    </row>
    <row r="1742">
      <c r="A1742" s="11" t="str">
        <f t="shared" si="1"/>
        <v/>
      </c>
      <c r="B1742" s="16"/>
      <c r="C1742" s="16"/>
      <c r="D1742" s="16"/>
      <c r="E1742" s="16"/>
      <c r="F1742" s="17"/>
      <c r="G1742" s="17"/>
      <c r="H1742" s="17"/>
      <c r="I1742" s="17"/>
      <c r="J1742" s="17"/>
      <c r="K1742" s="17"/>
      <c r="L1742" s="17"/>
    </row>
    <row r="1743">
      <c r="A1743" s="11" t="str">
        <f t="shared" si="1"/>
        <v/>
      </c>
      <c r="B1743" s="16"/>
      <c r="C1743" s="16"/>
      <c r="D1743" s="16"/>
      <c r="E1743" s="16"/>
      <c r="F1743" s="17"/>
      <c r="G1743" s="17"/>
      <c r="H1743" s="17"/>
      <c r="I1743" s="17"/>
      <c r="J1743" s="17"/>
      <c r="K1743" s="17"/>
      <c r="L1743" s="17"/>
    </row>
    <row r="1744">
      <c r="A1744" s="11" t="str">
        <f t="shared" si="1"/>
        <v/>
      </c>
      <c r="B1744" s="16"/>
      <c r="C1744" s="16"/>
      <c r="D1744" s="16"/>
      <c r="E1744" s="16"/>
      <c r="F1744" s="17"/>
      <c r="G1744" s="17"/>
      <c r="H1744" s="17"/>
      <c r="I1744" s="17"/>
      <c r="J1744" s="17"/>
      <c r="K1744" s="17"/>
      <c r="L1744" s="17"/>
    </row>
    <row r="1745">
      <c r="A1745" s="11" t="str">
        <f t="shared" si="1"/>
        <v/>
      </c>
      <c r="B1745" s="16"/>
      <c r="C1745" s="16"/>
      <c r="D1745" s="16"/>
      <c r="E1745" s="16"/>
      <c r="F1745" s="17"/>
      <c r="G1745" s="17"/>
      <c r="H1745" s="17"/>
      <c r="I1745" s="17"/>
      <c r="J1745" s="17"/>
      <c r="K1745" s="17"/>
      <c r="L1745" s="17"/>
    </row>
    <row r="1746">
      <c r="A1746" s="11" t="str">
        <f t="shared" si="1"/>
        <v/>
      </c>
      <c r="B1746" s="16"/>
      <c r="C1746" s="16"/>
      <c r="D1746" s="16"/>
      <c r="E1746" s="16"/>
      <c r="F1746" s="17"/>
      <c r="G1746" s="17"/>
      <c r="H1746" s="17"/>
      <c r="I1746" s="17"/>
      <c r="J1746" s="17"/>
      <c r="K1746" s="17"/>
      <c r="L1746" s="17"/>
    </row>
    <row r="1747">
      <c r="A1747" s="11" t="str">
        <f t="shared" si="1"/>
        <v/>
      </c>
      <c r="B1747" s="16"/>
      <c r="C1747" s="16"/>
      <c r="D1747" s="16"/>
      <c r="E1747" s="16"/>
      <c r="F1747" s="17"/>
      <c r="G1747" s="17"/>
      <c r="H1747" s="17"/>
      <c r="I1747" s="17"/>
      <c r="J1747" s="17"/>
      <c r="K1747" s="17"/>
      <c r="L1747" s="17"/>
    </row>
    <row r="1748">
      <c r="A1748" s="11" t="str">
        <f t="shared" si="1"/>
        <v/>
      </c>
      <c r="B1748" s="16"/>
      <c r="C1748" s="16"/>
      <c r="D1748" s="16"/>
      <c r="E1748" s="16"/>
      <c r="F1748" s="17"/>
      <c r="G1748" s="17"/>
      <c r="H1748" s="17"/>
      <c r="I1748" s="17"/>
      <c r="J1748" s="17"/>
      <c r="K1748" s="17"/>
      <c r="L1748" s="17"/>
    </row>
    <row r="1749">
      <c r="A1749" s="11" t="str">
        <f t="shared" si="1"/>
        <v/>
      </c>
      <c r="B1749" s="16"/>
      <c r="C1749" s="16"/>
      <c r="D1749" s="16"/>
      <c r="E1749" s="16"/>
      <c r="F1749" s="17"/>
      <c r="G1749" s="17"/>
      <c r="H1749" s="17"/>
      <c r="I1749" s="17"/>
      <c r="J1749" s="17"/>
      <c r="K1749" s="17"/>
      <c r="L1749" s="17"/>
    </row>
    <row r="1750">
      <c r="A1750" s="11" t="str">
        <f t="shared" si="1"/>
        <v/>
      </c>
      <c r="B1750" s="16"/>
      <c r="C1750" s="16"/>
      <c r="D1750" s="16"/>
      <c r="E1750" s="16"/>
      <c r="F1750" s="17"/>
      <c r="G1750" s="17"/>
      <c r="H1750" s="17"/>
      <c r="I1750" s="17"/>
      <c r="J1750" s="17"/>
      <c r="K1750" s="17"/>
      <c r="L1750" s="17"/>
    </row>
    <row r="1751">
      <c r="A1751" s="11" t="str">
        <f t="shared" si="1"/>
        <v/>
      </c>
      <c r="B1751" s="16"/>
      <c r="C1751" s="16"/>
      <c r="D1751" s="16"/>
      <c r="E1751" s="16"/>
      <c r="F1751" s="17"/>
      <c r="G1751" s="17"/>
      <c r="H1751" s="17"/>
      <c r="I1751" s="17"/>
      <c r="J1751" s="17"/>
      <c r="K1751" s="17"/>
      <c r="L1751" s="17"/>
    </row>
    <row r="1752">
      <c r="A1752" s="11" t="str">
        <f t="shared" si="1"/>
        <v/>
      </c>
      <c r="B1752" s="16"/>
      <c r="C1752" s="16"/>
      <c r="D1752" s="16"/>
      <c r="E1752" s="16"/>
      <c r="F1752" s="17"/>
      <c r="G1752" s="17"/>
      <c r="H1752" s="17"/>
      <c r="I1752" s="17"/>
      <c r="J1752" s="17"/>
      <c r="K1752" s="17"/>
      <c r="L1752" s="17"/>
    </row>
    <row r="1753">
      <c r="A1753" s="11" t="str">
        <f t="shared" si="1"/>
        <v/>
      </c>
      <c r="B1753" s="16"/>
      <c r="C1753" s="16"/>
      <c r="D1753" s="16"/>
      <c r="E1753" s="16"/>
      <c r="F1753" s="17"/>
      <c r="G1753" s="17"/>
      <c r="H1753" s="17"/>
      <c r="I1753" s="17"/>
      <c r="J1753" s="17"/>
      <c r="K1753" s="17"/>
      <c r="L1753" s="17"/>
    </row>
    <row r="1754">
      <c r="A1754" s="11" t="str">
        <f t="shared" si="1"/>
        <v/>
      </c>
      <c r="B1754" s="16"/>
      <c r="C1754" s="16"/>
      <c r="D1754" s="16"/>
      <c r="E1754" s="16"/>
      <c r="F1754" s="17"/>
      <c r="G1754" s="17"/>
      <c r="H1754" s="17"/>
      <c r="I1754" s="17"/>
      <c r="J1754" s="17"/>
      <c r="K1754" s="17"/>
      <c r="L1754" s="17"/>
    </row>
    <row r="1755">
      <c r="A1755" s="11" t="str">
        <f t="shared" si="1"/>
        <v/>
      </c>
      <c r="B1755" s="16"/>
      <c r="C1755" s="16"/>
      <c r="D1755" s="16"/>
      <c r="E1755" s="16"/>
      <c r="F1755" s="17"/>
      <c r="G1755" s="17"/>
      <c r="H1755" s="17"/>
      <c r="I1755" s="17"/>
      <c r="J1755" s="17"/>
      <c r="K1755" s="17"/>
      <c r="L1755" s="17"/>
    </row>
    <row r="1756">
      <c r="A1756" s="11" t="str">
        <f t="shared" si="1"/>
        <v/>
      </c>
      <c r="B1756" s="16"/>
      <c r="C1756" s="16"/>
      <c r="D1756" s="16"/>
      <c r="E1756" s="16"/>
      <c r="F1756" s="17"/>
      <c r="G1756" s="17"/>
      <c r="H1756" s="17"/>
      <c r="I1756" s="17"/>
      <c r="J1756" s="17"/>
      <c r="K1756" s="17"/>
      <c r="L1756" s="17"/>
    </row>
    <row r="1757">
      <c r="A1757" s="11" t="str">
        <f t="shared" si="1"/>
        <v/>
      </c>
      <c r="B1757" s="16"/>
      <c r="C1757" s="16"/>
      <c r="D1757" s="16"/>
      <c r="E1757" s="16"/>
      <c r="F1757" s="17"/>
      <c r="G1757" s="17"/>
      <c r="H1757" s="17"/>
      <c r="I1757" s="17"/>
      <c r="J1757" s="17"/>
      <c r="K1757" s="17"/>
      <c r="L1757" s="17"/>
    </row>
    <row r="1758">
      <c r="A1758" s="11" t="str">
        <f t="shared" si="1"/>
        <v/>
      </c>
      <c r="B1758" s="16"/>
      <c r="C1758" s="16"/>
      <c r="D1758" s="16"/>
      <c r="E1758" s="16"/>
      <c r="F1758" s="17"/>
      <c r="G1758" s="17"/>
      <c r="H1758" s="17"/>
      <c r="I1758" s="17"/>
      <c r="J1758" s="17"/>
      <c r="K1758" s="17"/>
      <c r="L1758" s="17"/>
    </row>
    <row r="1759">
      <c r="A1759" s="11" t="str">
        <f t="shared" si="1"/>
        <v/>
      </c>
      <c r="B1759" s="16"/>
      <c r="C1759" s="16"/>
      <c r="D1759" s="16"/>
      <c r="E1759" s="16"/>
      <c r="F1759" s="17"/>
      <c r="G1759" s="17"/>
      <c r="H1759" s="17"/>
      <c r="I1759" s="17"/>
      <c r="J1759" s="17"/>
      <c r="K1759" s="17"/>
      <c r="L1759" s="17"/>
    </row>
    <row r="1760">
      <c r="A1760" s="11" t="str">
        <f t="shared" si="1"/>
        <v/>
      </c>
      <c r="B1760" s="16"/>
      <c r="C1760" s="16"/>
      <c r="D1760" s="16"/>
      <c r="E1760" s="16"/>
      <c r="F1760" s="17"/>
      <c r="G1760" s="17"/>
      <c r="H1760" s="17"/>
      <c r="I1760" s="17"/>
      <c r="J1760" s="17"/>
      <c r="K1760" s="17"/>
      <c r="L1760" s="17"/>
    </row>
    <row r="1761">
      <c r="A1761" s="11" t="str">
        <f t="shared" si="1"/>
        <v/>
      </c>
      <c r="B1761" s="16"/>
      <c r="C1761" s="16"/>
      <c r="D1761" s="16"/>
      <c r="E1761" s="16"/>
      <c r="F1761" s="17"/>
      <c r="G1761" s="17"/>
      <c r="H1761" s="17"/>
      <c r="I1761" s="17"/>
      <c r="J1761" s="17"/>
      <c r="K1761" s="17"/>
      <c r="L1761" s="17"/>
    </row>
    <row r="1762">
      <c r="A1762" s="11" t="str">
        <f t="shared" si="1"/>
        <v/>
      </c>
      <c r="B1762" s="16"/>
      <c r="C1762" s="16"/>
      <c r="D1762" s="16"/>
      <c r="E1762" s="16"/>
      <c r="F1762" s="17"/>
      <c r="G1762" s="17"/>
      <c r="H1762" s="17"/>
      <c r="I1762" s="17"/>
      <c r="J1762" s="17"/>
      <c r="K1762" s="17"/>
      <c r="L1762" s="17"/>
    </row>
    <row r="1763">
      <c r="A1763" s="11" t="str">
        <f t="shared" si="1"/>
        <v/>
      </c>
      <c r="B1763" s="16"/>
      <c r="C1763" s="16"/>
      <c r="D1763" s="16"/>
      <c r="E1763" s="16"/>
      <c r="F1763" s="17"/>
      <c r="G1763" s="17"/>
      <c r="H1763" s="17"/>
      <c r="I1763" s="17"/>
      <c r="J1763" s="17"/>
      <c r="K1763" s="17"/>
      <c r="L1763" s="17"/>
    </row>
    <row r="1764">
      <c r="A1764" s="11" t="str">
        <f t="shared" si="1"/>
        <v/>
      </c>
      <c r="B1764" s="16"/>
      <c r="C1764" s="16"/>
      <c r="D1764" s="16"/>
      <c r="E1764" s="16"/>
      <c r="F1764" s="17"/>
      <c r="G1764" s="17"/>
      <c r="H1764" s="17"/>
      <c r="I1764" s="17"/>
      <c r="J1764" s="17"/>
      <c r="K1764" s="17"/>
      <c r="L1764" s="17"/>
    </row>
    <row r="1765">
      <c r="A1765" s="11" t="str">
        <f t="shared" si="1"/>
        <v/>
      </c>
      <c r="B1765" s="16"/>
      <c r="C1765" s="16"/>
      <c r="D1765" s="16"/>
      <c r="E1765" s="16"/>
      <c r="F1765" s="17"/>
      <c r="G1765" s="17"/>
      <c r="H1765" s="17"/>
      <c r="I1765" s="17"/>
      <c r="J1765" s="17"/>
      <c r="K1765" s="17"/>
      <c r="L1765" s="17"/>
    </row>
    <row r="1766">
      <c r="A1766" s="11" t="str">
        <f t="shared" si="1"/>
        <v/>
      </c>
      <c r="B1766" s="16"/>
      <c r="C1766" s="16"/>
      <c r="D1766" s="16"/>
      <c r="E1766" s="16"/>
      <c r="F1766" s="17"/>
      <c r="G1766" s="17"/>
      <c r="H1766" s="17"/>
      <c r="I1766" s="17"/>
      <c r="J1766" s="17"/>
      <c r="K1766" s="17"/>
      <c r="L1766" s="17"/>
    </row>
    <row r="1767">
      <c r="A1767" s="11" t="str">
        <f t="shared" si="1"/>
        <v/>
      </c>
      <c r="B1767" s="16"/>
      <c r="C1767" s="16"/>
      <c r="D1767" s="16"/>
      <c r="E1767" s="16"/>
      <c r="F1767" s="17"/>
      <c r="G1767" s="17"/>
      <c r="H1767" s="17"/>
      <c r="I1767" s="17"/>
      <c r="J1767" s="17"/>
      <c r="K1767" s="17"/>
      <c r="L1767" s="17"/>
    </row>
    <row r="1768">
      <c r="A1768" s="11" t="str">
        <f t="shared" si="1"/>
        <v/>
      </c>
      <c r="B1768" s="16"/>
      <c r="C1768" s="16"/>
      <c r="D1768" s="16"/>
      <c r="E1768" s="16"/>
      <c r="F1768" s="17"/>
      <c r="G1768" s="17"/>
      <c r="H1768" s="17"/>
      <c r="I1768" s="17"/>
      <c r="J1768" s="17"/>
      <c r="K1768" s="17"/>
      <c r="L1768" s="17"/>
    </row>
    <row r="1769">
      <c r="A1769" s="11" t="str">
        <f t="shared" si="1"/>
        <v/>
      </c>
      <c r="B1769" s="16"/>
      <c r="C1769" s="16"/>
      <c r="D1769" s="16"/>
      <c r="E1769" s="16"/>
      <c r="F1769" s="17"/>
      <c r="G1769" s="17"/>
      <c r="H1769" s="17"/>
      <c r="I1769" s="17"/>
      <c r="J1769" s="17"/>
      <c r="K1769" s="17"/>
      <c r="L1769" s="17"/>
    </row>
    <row r="1770">
      <c r="A1770" s="11" t="str">
        <f t="shared" si="1"/>
        <v/>
      </c>
      <c r="B1770" s="16"/>
      <c r="C1770" s="16"/>
      <c r="D1770" s="16"/>
      <c r="E1770" s="16"/>
      <c r="F1770" s="17"/>
      <c r="G1770" s="17"/>
      <c r="H1770" s="17"/>
      <c r="I1770" s="17"/>
      <c r="J1770" s="17"/>
      <c r="K1770" s="17"/>
      <c r="L1770" s="17"/>
    </row>
    <row r="1771">
      <c r="A1771" s="11" t="str">
        <f t="shared" si="1"/>
        <v/>
      </c>
      <c r="B1771" s="16"/>
      <c r="C1771" s="16"/>
      <c r="D1771" s="16"/>
      <c r="E1771" s="16"/>
      <c r="F1771" s="17"/>
      <c r="G1771" s="17"/>
      <c r="H1771" s="17"/>
      <c r="I1771" s="17"/>
      <c r="J1771" s="17"/>
      <c r="K1771" s="17"/>
      <c r="L1771" s="17"/>
    </row>
    <row r="1772">
      <c r="A1772" s="11" t="str">
        <f t="shared" si="1"/>
        <v/>
      </c>
      <c r="B1772" s="16"/>
      <c r="C1772" s="16"/>
      <c r="D1772" s="16"/>
      <c r="E1772" s="16"/>
      <c r="F1772" s="17"/>
      <c r="G1772" s="17"/>
      <c r="H1772" s="17"/>
      <c r="I1772" s="17"/>
      <c r="J1772" s="17"/>
      <c r="K1772" s="17"/>
      <c r="L1772" s="17"/>
    </row>
    <row r="1773">
      <c r="A1773" s="11" t="str">
        <f t="shared" si="1"/>
        <v/>
      </c>
      <c r="B1773" s="16"/>
      <c r="C1773" s="16"/>
      <c r="D1773" s="16"/>
      <c r="E1773" s="16"/>
      <c r="F1773" s="17"/>
      <c r="G1773" s="17"/>
      <c r="H1773" s="17"/>
      <c r="I1773" s="17"/>
      <c r="J1773" s="17"/>
      <c r="K1773" s="17"/>
      <c r="L1773" s="17"/>
    </row>
    <row r="1774">
      <c r="A1774" s="11" t="str">
        <f t="shared" si="1"/>
        <v/>
      </c>
      <c r="B1774" s="16"/>
      <c r="C1774" s="16"/>
      <c r="D1774" s="16"/>
      <c r="E1774" s="16"/>
      <c r="F1774" s="17"/>
      <c r="G1774" s="17"/>
      <c r="H1774" s="17"/>
      <c r="I1774" s="17"/>
      <c r="J1774" s="17"/>
      <c r="K1774" s="17"/>
      <c r="L1774" s="17"/>
    </row>
    <row r="1775">
      <c r="A1775" s="11" t="str">
        <f t="shared" si="1"/>
        <v/>
      </c>
      <c r="B1775" s="16"/>
      <c r="C1775" s="16"/>
      <c r="D1775" s="16"/>
      <c r="E1775" s="16"/>
      <c r="F1775" s="17"/>
      <c r="G1775" s="17"/>
      <c r="H1775" s="17"/>
      <c r="I1775" s="17"/>
      <c r="J1775" s="17"/>
      <c r="K1775" s="17"/>
      <c r="L1775" s="17"/>
    </row>
    <row r="1776">
      <c r="A1776" s="11" t="str">
        <f t="shared" si="1"/>
        <v/>
      </c>
      <c r="B1776" s="16"/>
      <c r="C1776" s="16"/>
      <c r="D1776" s="16"/>
      <c r="E1776" s="16"/>
      <c r="F1776" s="17"/>
      <c r="G1776" s="17"/>
      <c r="H1776" s="17"/>
      <c r="I1776" s="17"/>
      <c r="J1776" s="17"/>
      <c r="K1776" s="17"/>
      <c r="L1776" s="17"/>
    </row>
    <row r="1777">
      <c r="A1777" s="11" t="str">
        <f t="shared" si="1"/>
        <v/>
      </c>
      <c r="B1777" s="16"/>
      <c r="C1777" s="16"/>
      <c r="D1777" s="16"/>
      <c r="E1777" s="16"/>
      <c r="F1777" s="17"/>
      <c r="G1777" s="17"/>
      <c r="H1777" s="17"/>
      <c r="I1777" s="17"/>
      <c r="J1777" s="17"/>
      <c r="K1777" s="17"/>
      <c r="L1777" s="17"/>
    </row>
    <row r="1778">
      <c r="A1778" s="11" t="str">
        <f t="shared" si="1"/>
        <v/>
      </c>
      <c r="B1778" s="16"/>
      <c r="C1778" s="16"/>
      <c r="D1778" s="16"/>
      <c r="E1778" s="16"/>
      <c r="F1778" s="17"/>
      <c r="G1778" s="17"/>
      <c r="H1778" s="17"/>
      <c r="I1778" s="17"/>
      <c r="J1778" s="17"/>
      <c r="K1778" s="17"/>
      <c r="L1778" s="17"/>
    </row>
    <row r="1779">
      <c r="A1779" s="11" t="str">
        <f t="shared" si="1"/>
        <v/>
      </c>
      <c r="B1779" s="16"/>
      <c r="C1779" s="16"/>
      <c r="D1779" s="16"/>
      <c r="E1779" s="16"/>
      <c r="F1779" s="17"/>
      <c r="G1779" s="17"/>
      <c r="H1779" s="17"/>
      <c r="I1779" s="17"/>
      <c r="J1779" s="17"/>
      <c r="K1779" s="17"/>
      <c r="L1779" s="17"/>
    </row>
    <row r="1780">
      <c r="A1780" s="11" t="str">
        <f t="shared" si="1"/>
        <v/>
      </c>
      <c r="B1780" s="16"/>
      <c r="C1780" s="16"/>
      <c r="D1780" s="16"/>
      <c r="E1780" s="16"/>
      <c r="F1780" s="17"/>
      <c r="G1780" s="17"/>
      <c r="H1780" s="17"/>
      <c r="I1780" s="17"/>
      <c r="J1780" s="17"/>
      <c r="K1780" s="17"/>
      <c r="L1780" s="17"/>
    </row>
    <row r="1781">
      <c r="A1781" s="11" t="str">
        <f t="shared" si="1"/>
        <v/>
      </c>
      <c r="B1781" s="16"/>
      <c r="C1781" s="16"/>
      <c r="D1781" s="16"/>
      <c r="E1781" s="16"/>
      <c r="F1781" s="17"/>
      <c r="G1781" s="17"/>
      <c r="H1781" s="17"/>
      <c r="I1781" s="17"/>
      <c r="J1781" s="17"/>
      <c r="K1781" s="17"/>
      <c r="L1781" s="17"/>
    </row>
    <row r="1782">
      <c r="A1782" s="11" t="str">
        <f t="shared" si="1"/>
        <v/>
      </c>
      <c r="B1782" s="16"/>
      <c r="C1782" s="16"/>
      <c r="D1782" s="16"/>
      <c r="E1782" s="16"/>
      <c r="F1782" s="17"/>
      <c r="G1782" s="17"/>
      <c r="H1782" s="17"/>
      <c r="I1782" s="17"/>
      <c r="J1782" s="17"/>
      <c r="K1782" s="17"/>
      <c r="L1782" s="17"/>
    </row>
    <row r="1783">
      <c r="A1783" s="11" t="str">
        <f t="shared" si="1"/>
        <v/>
      </c>
      <c r="B1783" s="16"/>
      <c r="C1783" s="16"/>
      <c r="D1783" s="16"/>
      <c r="E1783" s="16"/>
      <c r="F1783" s="17"/>
      <c r="G1783" s="17"/>
      <c r="H1783" s="17"/>
      <c r="I1783" s="17"/>
      <c r="J1783" s="17"/>
      <c r="K1783" s="17"/>
      <c r="L1783" s="17"/>
    </row>
    <row r="1784">
      <c r="A1784" s="11" t="str">
        <f t="shared" si="1"/>
        <v/>
      </c>
      <c r="B1784" s="16"/>
      <c r="C1784" s="16"/>
      <c r="D1784" s="16"/>
      <c r="E1784" s="16"/>
      <c r="F1784" s="17"/>
      <c r="G1784" s="17"/>
      <c r="H1784" s="17"/>
      <c r="I1784" s="17"/>
      <c r="J1784" s="17"/>
      <c r="K1784" s="17"/>
      <c r="L1784" s="17"/>
    </row>
    <row r="1785">
      <c r="A1785" s="11" t="str">
        <f t="shared" si="1"/>
        <v/>
      </c>
      <c r="B1785" s="16"/>
      <c r="C1785" s="16"/>
      <c r="D1785" s="16"/>
      <c r="E1785" s="16"/>
      <c r="F1785" s="17"/>
      <c r="G1785" s="17"/>
      <c r="H1785" s="17"/>
      <c r="I1785" s="17"/>
      <c r="J1785" s="17"/>
      <c r="K1785" s="17"/>
      <c r="L1785" s="17"/>
    </row>
    <row r="1786">
      <c r="A1786" s="11" t="str">
        <f t="shared" si="1"/>
        <v/>
      </c>
      <c r="B1786" s="16"/>
      <c r="C1786" s="16"/>
      <c r="D1786" s="16"/>
      <c r="E1786" s="16"/>
      <c r="F1786" s="17"/>
      <c r="G1786" s="17"/>
      <c r="H1786" s="17"/>
      <c r="I1786" s="17"/>
      <c r="J1786" s="17"/>
      <c r="K1786" s="17"/>
      <c r="L1786" s="17"/>
    </row>
    <row r="1787">
      <c r="A1787" s="11" t="str">
        <f t="shared" si="1"/>
        <v/>
      </c>
      <c r="B1787" s="16"/>
      <c r="C1787" s="16"/>
      <c r="D1787" s="16"/>
      <c r="E1787" s="16"/>
      <c r="F1787" s="17"/>
      <c r="G1787" s="17"/>
      <c r="H1787" s="17"/>
      <c r="I1787" s="17"/>
      <c r="J1787" s="17"/>
      <c r="K1787" s="17"/>
      <c r="L1787" s="17"/>
    </row>
    <row r="1788">
      <c r="A1788" s="11" t="str">
        <f t="shared" si="1"/>
        <v/>
      </c>
      <c r="B1788" s="16"/>
      <c r="C1788" s="16"/>
      <c r="D1788" s="16"/>
      <c r="E1788" s="16"/>
      <c r="F1788" s="17"/>
      <c r="G1788" s="17"/>
      <c r="H1788" s="17"/>
      <c r="I1788" s="17"/>
      <c r="J1788" s="17"/>
      <c r="K1788" s="17"/>
      <c r="L1788" s="17"/>
    </row>
    <row r="1789">
      <c r="A1789" s="11" t="str">
        <f t="shared" si="1"/>
        <v/>
      </c>
      <c r="B1789" s="16"/>
      <c r="C1789" s="16"/>
      <c r="D1789" s="16"/>
      <c r="E1789" s="16"/>
      <c r="F1789" s="17"/>
      <c r="G1789" s="17"/>
      <c r="H1789" s="17"/>
      <c r="I1789" s="17"/>
      <c r="J1789" s="17"/>
      <c r="K1789" s="17"/>
      <c r="L1789" s="17"/>
    </row>
    <row r="1790">
      <c r="A1790" s="11" t="str">
        <f t="shared" si="1"/>
        <v/>
      </c>
      <c r="B1790" s="16"/>
      <c r="C1790" s="16"/>
      <c r="D1790" s="16"/>
      <c r="E1790" s="16"/>
      <c r="F1790" s="17"/>
      <c r="G1790" s="17"/>
      <c r="H1790" s="17"/>
      <c r="I1790" s="17"/>
      <c r="J1790" s="17"/>
      <c r="K1790" s="17"/>
      <c r="L1790" s="17"/>
    </row>
    <row r="1791">
      <c r="A1791" s="11" t="str">
        <f t="shared" si="1"/>
        <v/>
      </c>
      <c r="B1791" s="16"/>
      <c r="C1791" s="16"/>
      <c r="D1791" s="16"/>
      <c r="E1791" s="16"/>
      <c r="F1791" s="17"/>
      <c r="G1791" s="17"/>
      <c r="H1791" s="17"/>
      <c r="I1791" s="17"/>
      <c r="J1791" s="17"/>
      <c r="K1791" s="17"/>
      <c r="L1791" s="17"/>
    </row>
    <row r="1792">
      <c r="A1792" s="11" t="str">
        <f t="shared" si="1"/>
        <v/>
      </c>
      <c r="B1792" s="16"/>
      <c r="C1792" s="16"/>
      <c r="D1792" s="16"/>
      <c r="E1792" s="16"/>
      <c r="F1792" s="17"/>
      <c r="G1792" s="17"/>
      <c r="H1792" s="17"/>
      <c r="I1792" s="17"/>
      <c r="J1792" s="17"/>
      <c r="K1792" s="17"/>
      <c r="L1792" s="17"/>
    </row>
    <row r="1793">
      <c r="A1793" s="11" t="str">
        <f t="shared" si="1"/>
        <v/>
      </c>
      <c r="B1793" s="16"/>
      <c r="C1793" s="16"/>
      <c r="D1793" s="16"/>
      <c r="E1793" s="16"/>
      <c r="F1793" s="17"/>
      <c r="G1793" s="17"/>
      <c r="H1793" s="17"/>
      <c r="I1793" s="17"/>
      <c r="J1793" s="17"/>
      <c r="K1793" s="17"/>
      <c r="L1793" s="17"/>
    </row>
    <row r="1794">
      <c r="A1794" s="11" t="str">
        <f t="shared" si="1"/>
        <v/>
      </c>
      <c r="B1794" s="16"/>
      <c r="C1794" s="16"/>
      <c r="D1794" s="16"/>
      <c r="E1794" s="16"/>
      <c r="F1794" s="17"/>
      <c r="G1794" s="17"/>
      <c r="H1794" s="17"/>
      <c r="I1794" s="17"/>
      <c r="J1794" s="17"/>
      <c r="K1794" s="17"/>
      <c r="L1794" s="17"/>
    </row>
    <row r="1795">
      <c r="A1795" s="11" t="str">
        <f t="shared" si="1"/>
        <v/>
      </c>
      <c r="B1795" s="16"/>
      <c r="C1795" s="16"/>
      <c r="D1795" s="16"/>
      <c r="E1795" s="16"/>
      <c r="F1795" s="17"/>
      <c r="G1795" s="17"/>
      <c r="H1795" s="17"/>
      <c r="I1795" s="17"/>
      <c r="J1795" s="17"/>
      <c r="K1795" s="17"/>
      <c r="L1795" s="17"/>
    </row>
    <row r="1796">
      <c r="A1796" s="11" t="str">
        <f t="shared" si="1"/>
        <v/>
      </c>
      <c r="B1796" s="16"/>
      <c r="C1796" s="16"/>
      <c r="D1796" s="16"/>
      <c r="E1796" s="16"/>
      <c r="F1796" s="17"/>
      <c r="G1796" s="17"/>
      <c r="H1796" s="17"/>
      <c r="I1796" s="17"/>
      <c r="J1796" s="17"/>
      <c r="K1796" s="17"/>
      <c r="L1796" s="17"/>
    </row>
    <row r="1797">
      <c r="A1797" s="11" t="str">
        <f t="shared" si="1"/>
        <v/>
      </c>
      <c r="B1797" s="16"/>
      <c r="C1797" s="16"/>
      <c r="D1797" s="16"/>
      <c r="E1797" s="16"/>
      <c r="F1797" s="17"/>
      <c r="G1797" s="17"/>
      <c r="H1797" s="17"/>
      <c r="I1797" s="17"/>
      <c r="J1797" s="17"/>
      <c r="K1797" s="17"/>
      <c r="L1797" s="17"/>
    </row>
    <row r="1798">
      <c r="A1798" s="11" t="str">
        <f t="shared" si="1"/>
        <v/>
      </c>
      <c r="B1798" s="16"/>
      <c r="C1798" s="16"/>
      <c r="D1798" s="16"/>
      <c r="E1798" s="16"/>
      <c r="F1798" s="17"/>
      <c r="G1798" s="17"/>
      <c r="H1798" s="17"/>
      <c r="I1798" s="17"/>
      <c r="J1798" s="17"/>
      <c r="K1798" s="17"/>
      <c r="L1798" s="17"/>
    </row>
    <row r="1799">
      <c r="A1799" s="11" t="str">
        <f t="shared" si="1"/>
        <v/>
      </c>
      <c r="B1799" s="16"/>
      <c r="C1799" s="16"/>
      <c r="D1799" s="16"/>
      <c r="E1799" s="16"/>
      <c r="F1799" s="17"/>
      <c r="G1799" s="17"/>
      <c r="H1799" s="17"/>
      <c r="I1799" s="17"/>
      <c r="J1799" s="17"/>
      <c r="K1799" s="17"/>
      <c r="L1799" s="17"/>
    </row>
    <row r="1800">
      <c r="A1800" s="11" t="str">
        <f t="shared" si="1"/>
        <v/>
      </c>
      <c r="B1800" s="16"/>
      <c r="C1800" s="16"/>
      <c r="D1800" s="16"/>
      <c r="E1800" s="16"/>
      <c r="F1800" s="17"/>
      <c r="G1800" s="17"/>
      <c r="H1800" s="17"/>
      <c r="I1800" s="17"/>
      <c r="J1800" s="17"/>
      <c r="K1800" s="17"/>
      <c r="L1800" s="17"/>
    </row>
    <row r="1801">
      <c r="A1801" s="11" t="str">
        <f t="shared" si="1"/>
        <v/>
      </c>
      <c r="B1801" s="16"/>
      <c r="C1801" s="16"/>
      <c r="D1801" s="16"/>
      <c r="E1801" s="16"/>
      <c r="F1801" s="17"/>
      <c r="G1801" s="17"/>
      <c r="H1801" s="17"/>
      <c r="I1801" s="17"/>
      <c r="J1801" s="17"/>
      <c r="K1801" s="17"/>
      <c r="L1801" s="17"/>
    </row>
    <row r="1802">
      <c r="A1802" s="11" t="str">
        <f t="shared" si="1"/>
        <v/>
      </c>
      <c r="B1802" s="16"/>
      <c r="C1802" s="16"/>
      <c r="D1802" s="16"/>
      <c r="E1802" s="16"/>
      <c r="F1802" s="17"/>
      <c r="G1802" s="17"/>
      <c r="H1802" s="17"/>
      <c r="I1802" s="17"/>
      <c r="J1802" s="17"/>
      <c r="K1802" s="17"/>
      <c r="L1802" s="17"/>
    </row>
    <row r="1803">
      <c r="A1803" s="11" t="str">
        <f t="shared" si="1"/>
        <v/>
      </c>
      <c r="B1803" s="16"/>
      <c r="C1803" s="16"/>
      <c r="D1803" s="16"/>
      <c r="E1803" s="16"/>
      <c r="F1803" s="17"/>
      <c r="G1803" s="17"/>
      <c r="H1803" s="17"/>
      <c r="I1803" s="17"/>
      <c r="J1803" s="17"/>
      <c r="K1803" s="17"/>
      <c r="L1803" s="17"/>
    </row>
    <row r="1804">
      <c r="A1804" s="11" t="str">
        <f t="shared" si="1"/>
        <v/>
      </c>
      <c r="B1804" s="16"/>
      <c r="C1804" s="16"/>
      <c r="D1804" s="16"/>
      <c r="E1804" s="16"/>
      <c r="F1804" s="17"/>
      <c r="G1804" s="17"/>
      <c r="H1804" s="17"/>
      <c r="I1804" s="17"/>
      <c r="J1804" s="17"/>
      <c r="K1804" s="17"/>
      <c r="L1804" s="17"/>
    </row>
    <row r="1805">
      <c r="A1805" s="11" t="str">
        <f t="shared" si="1"/>
        <v/>
      </c>
      <c r="B1805" s="16"/>
      <c r="C1805" s="16"/>
      <c r="D1805" s="16"/>
      <c r="E1805" s="16"/>
      <c r="F1805" s="17"/>
      <c r="G1805" s="17"/>
      <c r="H1805" s="17"/>
      <c r="I1805" s="17"/>
      <c r="J1805" s="17"/>
      <c r="K1805" s="17"/>
      <c r="L1805" s="17"/>
    </row>
    <row r="1806">
      <c r="A1806" s="11" t="str">
        <f t="shared" si="1"/>
        <v/>
      </c>
      <c r="B1806" s="16"/>
      <c r="C1806" s="16"/>
      <c r="D1806" s="16"/>
      <c r="E1806" s="16"/>
      <c r="F1806" s="17"/>
      <c r="G1806" s="17"/>
      <c r="H1806" s="17"/>
      <c r="I1806" s="17"/>
      <c r="J1806" s="17"/>
      <c r="K1806" s="17"/>
      <c r="L1806" s="17"/>
    </row>
    <row r="1807">
      <c r="A1807" s="11" t="str">
        <f t="shared" si="1"/>
        <v/>
      </c>
      <c r="B1807" s="16"/>
      <c r="C1807" s="16"/>
      <c r="D1807" s="16"/>
      <c r="E1807" s="16"/>
      <c r="F1807" s="17"/>
      <c r="G1807" s="17"/>
      <c r="H1807" s="17"/>
      <c r="I1807" s="17"/>
      <c r="J1807" s="17"/>
      <c r="K1807" s="17"/>
      <c r="L1807" s="17"/>
    </row>
    <row r="1808">
      <c r="A1808" s="11" t="str">
        <f t="shared" si="1"/>
        <v/>
      </c>
      <c r="B1808" s="16"/>
      <c r="C1808" s="16"/>
      <c r="D1808" s="16"/>
      <c r="E1808" s="16"/>
      <c r="F1808" s="17"/>
      <c r="G1808" s="17"/>
      <c r="H1808" s="17"/>
      <c r="I1808" s="17"/>
      <c r="J1808" s="17"/>
      <c r="K1808" s="17"/>
      <c r="L1808" s="17"/>
    </row>
    <row r="1809">
      <c r="A1809" s="11" t="str">
        <f t="shared" si="1"/>
        <v/>
      </c>
      <c r="B1809" s="16"/>
      <c r="C1809" s="16"/>
      <c r="D1809" s="16"/>
      <c r="E1809" s="16"/>
      <c r="F1809" s="17"/>
      <c r="G1809" s="17"/>
      <c r="H1809" s="17"/>
      <c r="I1809" s="17"/>
      <c r="J1809" s="17"/>
      <c r="K1809" s="17"/>
      <c r="L1809" s="17"/>
    </row>
    <row r="1810">
      <c r="A1810" s="11" t="str">
        <f t="shared" si="1"/>
        <v/>
      </c>
      <c r="B1810" s="16"/>
      <c r="C1810" s="16"/>
      <c r="D1810" s="16"/>
      <c r="E1810" s="16"/>
      <c r="F1810" s="17"/>
      <c r="G1810" s="17"/>
      <c r="H1810" s="17"/>
      <c r="I1810" s="17"/>
      <c r="J1810" s="17"/>
      <c r="K1810" s="17"/>
      <c r="L1810" s="17"/>
    </row>
    <row r="1811">
      <c r="A1811" s="11" t="str">
        <f t="shared" si="1"/>
        <v/>
      </c>
      <c r="B1811" s="16"/>
      <c r="C1811" s="16"/>
      <c r="D1811" s="16"/>
      <c r="E1811" s="16"/>
      <c r="F1811" s="17"/>
      <c r="G1811" s="17"/>
      <c r="H1811" s="17"/>
      <c r="I1811" s="17"/>
      <c r="J1811" s="17"/>
      <c r="K1811" s="17"/>
      <c r="L1811" s="17"/>
    </row>
    <row r="1812">
      <c r="A1812" s="11" t="str">
        <f t="shared" si="1"/>
        <v/>
      </c>
      <c r="B1812" s="16"/>
      <c r="C1812" s="16"/>
      <c r="D1812" s="16"/>
      <c r="E1812" s="16"/>
      <c r="F1812" s="17"/>
      <c r="G1812" s="17"/>
      <c r="H1812" s="17"/>
      <c r="I1812" s="17"/>
      <c r="J1812" s="17"/>
      <c r="K1812" s="17"/>
      <c r="L1812" s="17"/>
    </row>
    <row r="1813">
      <c r="A1813" s="11" t="str">
        <f t="shared" si="1"/>
        <v/>
      </c>
      <c r="B1813" s="16"/>
      <c r="C1813" s="16"/>
      <c r="D1813" s="16"/>
      <c r="E1813" s="16"/>
      <c r="F1813" s="17"/>
      <c r="G1813" s="17"/>
      <c r="H1813" s="17"/>
      <c r="I1813" s="17"/>
      <c r="J1813" s="17"/>
      <c r="K1813" s="17"/>
      <c r="L1813" s="17"/>
    </row>
    <row r="1814">
      <c r="A1814" s="11" t="str">
        <f t="shared" si="1"/>
        <v/>
      </c>
      <c r="B1814" s="16"/>
      <c r="C1814" s="16"/>
      <c r="D1814" s="16"/>
      <c r="E1814" s="16"/>
      <c r="F1814" s="17"/>
      <c r="G1814" s="17"/>
      <c r="H1814" s="17"/>
      <c r="I1814" s="17"/>
      <c r="J1814" s="17"/>
      <c r="K1814" s="17"/>
      <c r="L1814" s="17"/>
    </row>
    <row r="1815">
      <c r="A1815" s="11" t="str">
        <f t="shared" si="1"/>
        <v/>
      </c>
      <c r="B1815" s="16"/>
      <c r="C1815" s="16"/>
      <c r="D1815" s="16"/>
      <c r="E1815" s="16"/>
      <c r="F1815" s="17"/>
      <c r="G1815" s="17"/>
      <c r="H1815" s="17"/>
      <c r="I1815" s="17"/>
      <c r="J1815" s="17"/>
      <c r="K1815" s="17"/>
      <c r="L1815" s="17"/>
    </row>
    <row r="1816">
      <c r="A1816" s="11" t="str">
        <f t="shared" si="1"/>
        <v/>
      </c>
      <c r="B1816" s="16"/>
      <c r="C1816" s="16"/>
      <c r="D1816" s="16"/>
      <c r="E1816" s="16"/>
      <c r="F1816" s="17"/>
      <c r="G1816" s="17"/>
      <c r="H1816" s="17"/>
      <c r="I1816" s="17"/>
      <c r="J1816" s="17"/>
      <c r="K1816" s="17"/>
      <c r="L1816" s="17"/>
    </row>
    <row r="1817">
      <c r="A1817" s="11" t="str">
        <f t="shared" si="1"/>
        <v/>
      </c>
      <c r="B1817" s="16"/>
      <c r="C1817" s="16"/>
      <c r="D1817" s="16"/>
      <c r="E1817" s="16"/>
      <c r="F1817" s="17"/>
      <c r="G1817" s="17"/>
      <c r="H1817" s="17"/>
      <c r="I1817" s="17"/>
      <c r="J1817" s="17"/>
      <c r="K1817" s="17"/>
      <c r="L1817" s="17"/>
    </row>
    <row r="1818">
      <c r="A1818" s="11" t="str">
        <f t="shared" si="1"/>
        <v/>
      </c>
      <c r="B1818" s="16"/>
      <c r="C1818" s="16"/>
      <c r="D1818" s="16"/>
      <c r="E1818" s="16"/>
      <c r="F1818" s="17"/>
      <c r="G1818" s="17"/>
      <c r="H1818" s="17"/>
      <c r="I1818" s="17"/>
      <c r="J1818" s="17"/>
      <c r="K1818" s="17"/>
      <c r="L1818" s="17"/>
    </row>
    <row r="1819">
      <c r="A1819" s="11" t="str">
        <f t="shared" si="1"/>
        <v/>
      </c>
      <c r="B1819" s="16"/>
      <c r="C1819" s="16"/>
      <c r="D1819" s="16"/>
      <c r="E1819" s="16"/>
      <c r="F1819" s="17"/>
      <c r="G1819" s="17"/>
      <c r="H1819" s="17"/>
      <c r="I1819" s="17"/>
      <c r="J1819" s="17"/>
      <c r="K1819" s="17"/>
      <c r="L1819" s="17"/>
    </row>
    <row r="1820">
      <c r="A1820" s="11" t="str">
        <f t="shared" si="1"/>
        <v/>
      </c>
      <c r="B1820" s="16"/>
      <c r="C1820" s="16"/>
      <c r="D1820" s="16"/>
      <c r="E1820" s="16"/>
      <c r="F1820" s="17"/>
      <c r="G1820" s="17"/>
      <c r="H1820" s="17"/>
      <c r="I1820" s="17"/>
      <c r="J1820" s="17"/>
      <c r="K1820" s="17"/>
      <c r="L1820" s="17"/>
    </row>
    <row r="1821">
      <c r="A1821" s="11" t="str">
        <f t="shared" si="1"/>
        <v/>
      </c>
      <c r="B1821" s="16"/>
      <c r="C1821" s="16"/>
      <c r="D1821" s="16"/>
      <c r="E1821" s="16"/>
      <c r="F1821" s="17"/>
      <c r="G1821" s="17"/>
      <c r="H1821" s="17"/>
      <c r="I1821" s="17"/>
      <c r="J1821" s="17"/>
      <c r="K1821" s="17"/>
      <c r="L1821" s="17"/>
    </row>
    <row r="1822">
      <c r="A1822" s="11" t="str">
        <f t="shared" si="1"/>
        <v/>
      </c>
      <c r="B1822" s="16"/>
      <c r="C1822" s="16"/>
      <c r="D1822" s="16"/>
      <c r="E1822" s="16"/>
      <c r="F1822" s="17"/>
      <c r="G1822" s="17"/>
      <c r="H1822" s="17"/>
      <c r="I1822" s="17"/>
      <c r="J1822" s="17"/>
      <c r="K1822" s="17"/>
      <c r="L1822" s="17"/>
    </row>
    <row r="1823">
      <c r="A1823" s="11" t="str">
        <f t="shared" si="1"/>
        <v/>
      </c>
      <c r="B1823" s="16"/>
      <c r="C1823" s="16"/>
      <c r="D1823" s="16"/>
      <c r="E1823" s="16"/>
      <c r="F1823" s="17"/>
      <c r="G1823" s="17"/>
      <c r="H1823" s="17"/>
      <c r="I1823" s="17"/>
      <c r="J1823" s="17"/>
      <c r="K1823" s="17"/>
      <c r="L1823" s="17"/>
    </row>
    <row r="1824">
      <c r="A1824" s="11" t="str">
        <f t="shared" si="1"/>
        <v/>
      </c>
      <c r="B1824" s="16"/>
      <c r="C1824" s="16"/>
      <c r="D1824" s="16"/>
      <c r="E1824" s="16"/>
      <c r="F1824" s="17"/>
      <c r="G1824" s="17"/>
      <c r="H1824" s="17"/>
      <c r="I1824" s="17"/>
      <c r="J1824" s="17"/>
      <c r="K1824" s="17"/>
      <c r="L1824" s="17"/>
    </row>
    <row r="1825">
      <c r="A1825" s="11" t="str">
        <f t="shared" si="1"/>
        <v/>
      </c>
      <c r="B1825" s="16"/>
      <c r="C1825" s="16"/>
      <c r="D1825" s="16"/>
      <c r="E1825" s="16"/>
      <c r="F1825" s="17"/>
      <c r="G1825" s="17"/>
      <c r="H1825" s="17"/>
      <c r="I1825" s="17"/>
      <c r="J1825" s="17"/>
      <c r="K1825" s="17"/>
      <c r="L1825" s="17"/>
    </row>
    <row r="1826">
      <c r="A1826" s="11" t="str">
        <f t="shared" si="1"/>
        <v/>
      </c>
      <c r="B1826" s="16"/>
      <c r="C1826" s="16"/>
      <c r="D1826" s="16"/>
      <c r="E1826" s="16"/>
      <c r="F1826" s="17"/>
      <c r="G1826" s="17"/>
      <c r="H1826" s="17"/>
      <c r="I1826" s="17"/>
      <c r="J1826" s="17"/>
      <c r="K1826" s="17"/>
      <c r="L1826" s="17"/>
    </row>
    <row r="1827">
      <c r="A1827" s="11" t="str">
        <f t="shared" si="1"/>
        <v/>
      </c>
      <c r="B1827" s="16"/>
      <c r="C1827" s="16"/>
      <c r="D1827" s="16"/>
      <c r="E1827" s="16"/>
      <c r="F1827" s="17"/>
      <c r="G1827" s="17"/>
      <c r="H1827" s="17"/>
      <c r="I1827" s="17"/>
      <c r="J1827" s="17"/>
      <c r="K1827" s="17"/>
      <c r="L1827" s="17"/>
    </row>
    <row r="1828">
      <c r="A1828" s="11" t="str">
        <f t="shared" si="1"/>
        <v/>
      </c>
      <c r="B1828" s="16"/>
      <c r="C1828" s="16"/>
      <c r="D1828" s="16"/>
      <c r="E1828" s="16"/>
      <c r="F1828" s="17"/>
      <c r="G1828" s="17"/>
      <c r="H1828" s="17"/>
      <c r="I1828" s="17"/>
      <c r="J1828" s="17"/>
      <c r="K1828" s="17"/>
      <c r="L1828" s="17"/>
    </row>
    <row r="1829">
      <c r="A1829" s="11" t="str">
        <f t="shared" si="1"/>
        <v/>
      </c>
      <c r="B1829" s="16"/>
      <c r="C1829" s="16"/>
      <c r="D1829" s="16"/>
      <c r="E1829" s="16"/>
      <c r="F1829" s="17"/>
      <c r="G1829" s="17"/>
      <c r="H1829" s="17"/>
      <c r="I1829" s="17"/>
      <c r="J1829" s="17"/>
      <c r="K1829" s="17"/>
      <c r="L1829" s="17"/>
    </row>
    <row r="1830">
      <c r="A1830" s="11" t="str">
        <f t="shared" si="1"/>
        <v/>
      </c>
      <c r="B1830" s="16"/>
      <c r="C1830" s="16"/>
      <c r="D1830" s="16"/>
      <c r="E1830" s="16"/>
      <c r="F1830" s="17"/>
      <c r="G1830" s="17"/>
      <c r="H1830" s="17"/>
      <c r="I1830" s="17"/>
      <c r="J1830" s="17"/>
      <c r="K1830" s="17"/>
      <c r="L1830" s="17"/>
    </row>
    <row r="1831">
      <c r="A1831" s="11" t="str">
        <f t="shared" si="1"/>
        <v/>
      </c>
      <c r="B1831" s="16"/>
      <c r="C1831" s="16"/>
      <c r="D1831" s="16"/>
      <c r="E1831" s="16"/>
      <c r="F1831" s="17"/>
      <c r="G1831" s="17"/>
      <c r="H1831" s="17"/>
      <c r="I1831" s="17"/>
      <c r="J1831" s="17"/>
      <c r="K1831" s="17"/>
      <c r="L1831" s="17"/>
    </row>
    <row r="1832">
      <c r="A1832" s="11" t="str">
        <f t="shared" si="1"/>
        <v/>
      </c>
      <c r="B1832" s="16"/>
      <c r="C1832" s="16"/>
      <c r="D1832" s="16"/>
      <c r="E1832" s="16"/>
      <c r="F1832" s="17"/>
      <c r="G1832" s="17"/>
      <c r="H1832" s="17"/>
      <c r="I1832" s="17"/>
      <c r="J1832" s="17"/>
      <c r="K1832" s="17"/>
      <c r="L1832" s="17"/>
    </row>
    <row r="1833">
      <c r="A1833" s="11" t="str">
        <f t="shared" si="1"/>
        <v/>
      </c>
      <c r="B1833" s="16"/>
      <c r="C1833" s="16"/>
      <c r="D1833" s="16"/>
      <c r="E1833" s="16"/>
      <c r="F1833" s="17"/>
      <c r="G1833" s="17"/>
      <c r="H1833" s="17"/>
      <c r="I1833" s="17"/>
      <c r="J1833" s="17"/>
      <c r="K1833" s="17"/>
      <c r="L1833" s="17"/>
    </row>
    <row r="1834">
      <c r="A1834" s="11" t="str">
        <f t="shared" si="1"/>
        <v/>
      </c>
      <c r="B1834" s="16"/>
      <c r="C1834" s="16"/>
      <c r="D1834" s="16"/>
      <c r="E1834" s="16"/>
      <c r="F1834" s="17"/>
      <c r="G1834" s="17"/>
      <c r="H1834" s="17"/>
      <c r="I1834" s="17"/>
      <c r="J1834" s="17"/>
      <c r="K1834" s="17"/>
      <c r="L1834" s="17"/>
    </row>
    <row r="1835">
      <c r="A1835" s="11" t="str">
        <f t="shared" si="1"/>
        <v/>
      </c>
      <c r="B1835" s="16"/>
      <c r="C1835" s="16"/>
      <c r="D1835" s="16"/>
      <c r="E1835" s="16"/>
      <c r="F1835" s="17"/>
      <c r="G1835" s="17"/>
      <c r="H1835" s="17"/>
      <c r="I1835" s="17"/>
      <c r="J1835" s="17"/>
      <c r="K1835" s="17"/>
      <c r="L1835" s="17"/>
    </row>
    <row r="1836">
      <c r="A1836" s="11" t="str">
        <f t="shared" si="1"/>
        <v/>
      </c>
      <c r="B1836" s="16"/>
      <c r="C1836" s="16"/>
      <c r="D1836" s="16"/>
      <c r="E1836" s="16"/>
      <c r="F1836" s="17"/>
      <c r="G1836" s="17"/>
      <c r="H1836" s="17"/>
      <c r="I1836" s="17"/>
      <c r="J1836" s="17"/>
      <c r="K1836" s="17"/>
      <c r="L1836" s="17"/>
    </row>
    <row r="1837">
      <c r="A1837" s="11" t="str">
        <f t="shared" si="1"/>
        <v/>
      </c>
      <c r="B1837" s="16"/>
      <c r="C1837" s="16"/>
      <c r="D1837" s="16"/>
      <c r="E1837" s="16"/>
      <c r="F1837" s="17"/>
      <c r="G1837" s="17"/>
      <c r="H1837" s="17"/>
      <c r="I1837" s="17"/>
      <c r="J1837" s="17"/>
      <c r="K1837" s="17"/>
      <c r="L1837" s="17"/>
    </row>
    <row r="1838">
      <c r="A1838" s="11" t="str">
        <f t="shared" si="1"/>
        <v/>
      </c>
      <c r="B1838" s="16"/>
      <c r="C1838" s="16"/>
      <c r="D1838" s="16"/>
      <c r="E1838" s="16"/>
      <c r="F1838" s="17"/>
      <c r="G1838" s="17"/>
      <c r="H1838" s="17"/>
      <c r="I1838" s="17"/>
      <c r="J1838" s="17"/>
      <c r="K1838" s="17"/>
      <c r="L1838" s="17"/>
    </row>
    <row r="1839">
      <c r="A1839" s="11" t="str">
        <f t="shared" si="1"/>
        <v/>
      </c>
      <c r="B1839" s="16"/>
      <c r="C1839" s="16"/>
      <c r="D1839" s="16"/>
      <c r="E1839" s="16"/>
      <c r="F1839" s="17"/>
      <c r="G1839" s="17"/>
      <c r="H1839" s="17"/>
      <c r="I1839" s="17"/>
      <c r="J1839" s="17"/>
      <c r="K1839" s="17"/>
      <c r="L1839" s="17"/>
    </row>
    <row r="1840">
      <c r="A1840" s="11" t="str">
        <f t="shared" si="1"/>
        <v/>
      </c>
      <c r="B1840" s="16"/>
      <c r="C1840" s="16"/>
      <c r="D1840" s="16"/>
      <c r="E1840" s="16"/>
      <c r="F1840" s="17"/>
      <c r="G1840" s="17"/>
      <c r="H1840" s="17"/>
      <c r="I1840" s="17"/>
      <c r="J1840" s="17"/>
      <c r="K1840" s="17"/>
      <c r="L1840" s="17"/>
    </row>
    <row r="1841">
      <c r="A1841" s="11" t="str">
        <f t="shared" si="1"/>
        <v/>
      </c>
      <c r="B1841" s="16"/>
      <c r="C1841" s="16"/>
      <c r="D1841" s="16"/>
      <c r="E1841" s="16"/>
      <c r="F1841" s="17"/>
      <c r="G1841" s="17"/>
      <c r="H1841" s="17"/>
      <c r="I1841" s="17"/>
      <c r="J1841" s="17"/>
      <c r="K1841" s="17"/>
      <c r="L1841" s="17"/>
    </row>
    <row r="1842">
      <c r="A1842" s="11" t="str">
        <f t="shared" si="1"/>
        <v/>
      </c>
      <c r="B1842" s="16"/>
      <c r="C1842" s="16"/>
      <c r="D1842" s="16"/>
      <c r="E1842" s="16"/>
      <c r="F1842" s="17"/>
      <c r="G1842" s="17"/>
      <c r="H1842" s="17"/>
      <c r="I1842" s="17"/>
      <c r="J1842" s="17"/>
      <c r="K1842" s="17"/>
      <c r="L1842" s="17"/>
    </row>
    <row r="1843">
      <c r="A1843" s="11" t="str">
        <f t="shared" si="1"/>
        <v/>
      </c>
      <c r="B1843" s="16"/>
      <c r="C1843" s="16"/>
      <c r="D1843" s="16"/>
      <c r="E1843" s="16"/>
      <c r="F1843" s="17"/>
      <c r="G1843" s="17"/>
      <c r="H1843" s="17"/>
      <c r="I1843" s="17"/>
      <c r="J1843" s="17"/>
      <c r="K1843" s="17"/>
      <c r="L1843" s="17"/>
    </row>
    <row r="1844">
      <c r="A1844" s="11" t="str">
        <f t="shared" si="1"/>
        <v/>
      </c>
      <c r="B1844" s="16"/>
      <c r="C1844" s="16"/>
      <c r="D1844" s="16"/>
      <c r="E1844" s="16"/>
      <c r="F1844" s="17"/>
      <c r="G1844" s="17"/>
      <c r="H1844" s="17"/>
      <c r="I1844" s="17"/>
      <c r="J1844" s="17"/>
      <c r="K1844" s="17"/>
      <c r="L1844" s="17"/>
    </row>
    <row r="1845">
      <c r="A1845" s="11" t="str">
        <f t="shared" si="1"/>
        <v/>
      </c>
      <c r="B1845" s="16"/>
      <c r="C1845" s="16"/>
      <c r="D1845" s="16"/>
      <c r="E1845" s="16"/>
      <c r="F1845" s="17"/>
      <c r="G1845" s="17"/>
      <c r="H1845" s="17"/>
      <c r="I1845" s="17"/>
      <c r="J1845" s="17"/>
      <c r="K1845" s="17"/>
      <c r="L1845" s="17"/>
    </row>
    <row r="1846">
      <c r="A1846" s="11" t="str">
        <f t="shared" si="1"/>
        <v/>
      </c>
      <c r="B1846" s="16"/>
      <c r="C1846" s="16"/>
      <c r="D1846" s="16"/>
      <c r="E1846" s="16"/>
      <c r="F1846" s="17"/>
      <c r="G1846" s="17"/>
      <c r="H1846" s="17"/>
      <c r="I1846" s="17"/>
      <c r="J1846" s="17"/>
      <c r="K1846" s="17"/>
      <c r="L1846" s="17"/>
    </row>
    <row r="1847">
      <c r="A1847" s="11" t="str">
        <f t="shared" si="1"/>
        <v/>
      </c>
      <c r="B1847" s="16"/>
      <c r="C1847" s="16"/>
      <c r="D1847" s="16"/>
      <c r="E1847" s="16"/>
      <c r="F1847" s="17"/>
      <c r="G1847" s="17"/>
      <c r="H1847" s="17"/>
      <c r="I1847" s="17"/>
      <c r="J1847" s="17"/>
      <c r="K1847" s="17"/>
      <c r="L1847" s="17"/>
    </row>
    <row r="1848">
      <c r="A1848" s="11" t="str">
        <f t="shared" si="1"/>
        <v/>
      </c>
      <c r="B1848" s="16"/>
      <c r="C1848" s="16"/>
      <c r="D1848" s="16"/>
      <c r="E1848" s="16"/>
      <c r="F1848" s="17"/>
      <c r="G1848" s="17"/>
      <c r="H1848" s="17"/>
      <c r="I1848" s="17"/>
      <c r="J1848" s="17"/>
      <c r="K1848" s="17"/>
      <c r="L1848" s="17"/>
    </row>
    <row r="1849">
      <c r="A1849" s="11" t="str">
        <f t="shared" si="1"/>
        <v/>
      </c>
      <c r="B1849" s="16"/>
      <c r="C1849" s="16"/>
      <c r="D1849" s="16"/>
      <c r="E1849" s="16"/>
      <c r="F1849" s="17"/>
      <c r="G1849" s="17"/>
      <c r="H1849" s="17"/>
      <c r="I1849" s="17"/>
      <c r="J1849" s="17"/>
      <c r="K1849" s="17"/>
      <c r="L1849" s="17"/>
    </row>
    <row r="1850">
      <c r="A1850" s="11" t="str">
        <f t="shared" si="1"/>
        <v/>
      </c>
      <c r="B1850" s="16"/>
      <c r="C1850" s="16"/>
      <c r="D1850" s="16"/>
      <c r="E1850" s="16"/>
      <c r="F1850" s="17"/>
      <c r="G1850" s="17"/>
      <c r="H1850" s="17"/>
      <c r="I1850" s="17"/>
      <c r="J1850" s="17"/>
      <c r="K1850" s="17"/>
      <c r="L1850" s="17"/>
    </row>
    <row r="1851">
      <c r="A1851" s="11" t="str">
        <f t="shared" si="1"/>
        <v/>
      </c>
      <c r="B1851" s="16"/>
      <c r="C1851" s="16"/>
      <c r="D1851" s="16"/>
      <c r="E1851" s="16"/>
      <c r="F1851" s="17"/>
      <c r="G1851" s="17"/>
      <c r="H1851" s="17"/>
      <c r="I1851" s="17"/>
      <c r="J1851" s="17"/>
      <c r="K1851" s="17"/>
      <c r="L1851" s="17"/>
    </row>
    <row r="1852">
      <c r="A1852" s="11" t="str">
        <f t="shared" si="1"/>
        <v/>
      </c>
      <c r="B1852" s="16"/>
      <c r="C1852" s="16"/>
      <c r="D1852" s="16"/>
      <c r="E1852" s="16"/>
      <c r="F1852" s="17"/>
      <c r="G1852" s="17"/>
      <c r="H1852" s="17"/>
      <c r="I1852" s="17"/>
      <c r="J1852" s="17"/>
      <c r="K1852" s="17"/>
      <c r="L1852" s="17"/>
    </row>
    <row r="1853">
      <c r="A1853" s="11" t="str">
        <f t="shared" si="1"/>
        <v/>
      </c>
      <c r="B1853" s="16"/>
      <c r="C1853" s="16"/>
      <c r="D1853" s="16"/>
      <c r="E1853" s="16"/>
      <c r="F1853" s="17"/>
      <c r="G1853" s="17"/>
      <c r="H1853" s="17"/>
      <c r="I1853" s="17"/>
      <c r="J1853" s="17"/>
      <c r="K1853" s="17"/>
      <c r="L1853" s="17"/>
    </row>
    <row r="1854">
      <c r="A1854" s="11" t="str">
        <f t="shared" si="1"/>
        <v/>
      </c>
      <c r="B1854" s="16"/>
      <c r="C1854" s="16"/>
      <c r="D1854" s="16"/>
      <c r="E1854" s="16"/>
      <c r="F1854" s="17"/>
      <c r="G1854" s="17"/>
      <c r="H1854" s="17"/>
      <c r="I1854" s="17"/>
      <c r="J1854" s="17"/>
      <c r="K1854" s="17"/>
      <c r="L1854" s="17"/>
    </row>
    <row r="1855">
      <c r="A1855" s="11" t="str">
        <f t="shared" si="1"/>
        <v/>
      </c>
      <c r="B1855" s="16"/>
      <c r="C1855" s="16"/>
      <c r="D1855" s="16"/>
      <c r="E1855" s="16"/>
      <c r="F1855" s="17"/>
      <c r="G1855" s="17"/>
      <c r="H1855" s="17"/>
      <c r="I1855" s="17"/>
      <c r="J1855" s="17"/>
      <c r="K1855" s="17"/>
      <c r="L1855" s="17"/>
    </row>
    <row r="1856">
      <c r="A1856" s="11" t="str">
        <f t="shared" si="1"/>
        <v/>
      </c>
      <c r="B1856" s="16"/>
      <c r="C1856" s="16"/>
      <c r="D1856" s="16"/>
      <c r="E1856" s="16"/>
      <c r="F1856" s="17"/>
      <c r="G1856" s="17"/>
      <c r="H1856" s="17"/>
      <c r="I1856" s="17"/>
      <c r="J1856" s="17"/>
      <c r="K1856" s="17"/>
      <c r="L1856" s="17"/>
    </row>
    <row r="1857">
      <c r="A1857" s="11" t="str">
        <f t="shared" si="1"/>
        <v/>
      </c>
      <c r="B1857" s="16"/>
      <c r="C1857" s="16"/>
      <c r="D1857" s="16"/>
      <c r="E1857" s="16"/>
      <c r="F1857" s="17"/>
      <c r="G1857" s="17"/>
      <c r="H1857" s="17"/>
      <c r="I1857" s="17"/>
      <c r="J1857" s="17"/>
      <c r="K1857" s="17"/>
      <c r="L1857" s="17"/>
    </row>
    <row r="1858">
      <c r="A1858" s="11" t="str">
        <f t="shared" si="1"/>
        <v/>
      </c>
      <c r="B1858" s="16"/>
      <c r="C1858" s="16"/>
      <c r="D1858" s="16"/>
      <c r="E1858" s="16"/>
      <c r="F1858" s="17"/>
      <c r="G1858" s="17"/>
      <c r="H1858" s="17"/>
      <c r="I1858" s="17"/>
      <c r="J1858" s="17"/>
      <c r="K1858" s="17"/>
      <c r="L1858" s="17"/>
    </row>
    <row r="1859">
      <c r="A1859" s="11" t="str">
        <f t="shared" si="1"/>
        <v/>
      </c>
      <c r="B1859" s="16"/>
      <c r="C1859" s="16"/>
      <c r="D1859" s="16"/>
      <c r="E1859" s="16"/>
      <c r="F1859" s="17"/>
      <c r="G1859" s="17"/>
      <c r="H1859" s="17"/>
      <c r="I1859" s="17"/>
      <c r="J1859" s="17"/>
      <c r="K1859" s="17"/>
      <c r="L1859" s="17"/>
    </row>
    <row r="1860">
      <c r="A1860" s="11" t="str">
        <f t="shared" si="1"/>
        <v/>
      </c>
      <c r="B1860" s="16"/>
      <c r="C1860" s="16"/>
      <c r="D1860" s="16"/>
      <c r="E1860" s="16"/>
      <c r="F1860" s="17"/>
      <c r="G1860" s="17"/>
      <c r="H1860" s="17"/>
      <c r="I1860" s="17"/>
      <c r="J1860" s="17"/>
      <c r="K1860" s="17"/>
      <c r="L1860" s="17"/>
    </row>
    <row r="1861">
      <c r="A1861" s="11" t="str">
        <f t="shared" si="1"/>
        <v/>
      </c>
      <c r="B1861" s="16"/>
      <c r="C1861" s="16"/>
      <c r="D1861" s="16"/>
      <c r="E1861" s="16"/>
      <c r="F1861" s="17"/>
      <c r="G1861" s="17"/>
      <c r="H1861" s="17"/>
      <c r="I1861" s="17"/>
      <c r="J1861" s="17"/>
      <c r="K1861" s="17"/>
      <c r="L1861" s="17"/>
    </row>
    <row r="1862">
      <c r="A1862" s="11" t="str">
        <f t="shared" si="1"/>
        <v/>
      </c>
      <c r="B1862" s="16"/>
      <c r="C1862" s="16"/>
      <c r="D1862" s="16"/>
      <c r="E1862" s="16"/>
      <c r="F1862" s="17"/>
      <c r="G1862" s="17"/>
      <c r="H1862" s="17"/>
      <c r="I1862" s="17"/>
      <c r="J1862" s="17"/>
      <c r="K1862" s="17"/>
      <c r="L1862" s="17"/>
    </row>
    <row r="1863">
      <c r="A1863" s="11" t="str">
        <f t="shared" si="1"/>
        <v/>
      </c>
      <c r="B1863" s="16"/>
      <c r="C1863" s="16"/>
      <c r="D1863" s="16"/>
      <c r="E1863" s="16"/>
      <c r="F1863" s="17"/>
      <c r="G1863" s="17"/>
      <c r="H1863" s="17"/>
      <c r="I1863" s="17"/>
      <c r="J1863" s="17"/>
      <c r="K1863" s="17"/>
      <c r="L1863" s="17"/>
    </row>
    <row r="1864">
      <c r="A1864" s="11" t="str">
        <f t="shared" si="1"/>
        <v/>
      </c>
      <c r="B1864" s="16"/>
      <c r="C1864" s="16"/>
      <c r="D1864" s="16"/>
      <c r="E1864" s="16"/>
      <c r="F1864" s="17"/>
      <c r="G1864" s="17"/>
      <c r="H1864" s="17"/>
      <c r="I1864" s="17"/>
      <c r="J1864" s="17"/>
      <c r="K1864" s="17"/>
      <c r="L1864" s="17"/>
    </row>
    <row r="1865">
      <c r="A1865" s="11" t="str">
        <f t="shared" si="1"/>
        <v/>
      </c>
      <c r="B1865" s="16"/>
      <c r="C1865" s="16"/>
      <c r="D1865" s="16"/>
      <c r="E1865" s="16"/>
      <c r="F1865" s="17"/>
      <c r="G1865" s="17"/>
      <c r="H1865" s="17"/>
      <c r="I1865" s="17"/>
      <c r="J1865" s="17"/>
      <c r="K1865" s="17"/>
      <c r="L1865" s="17"/>
    </row>
    <row r="1866">
      <c r="A1866" s="11" t="str">
        <f t="shared" si="1"/>
        <v/>
      </c>
      <c r="B1866" s="16"/>
      <c r="C1866" s="16"/>
      <c r="D1866" s="16"/>
      <c r="E1866" s="16"/>
      <c r="F1866" s="17"/>
      <c r="G1866" s="17"/>
      <c r="H1866" s="17"/>
      <c r="I1866" s="17"/>
      <c r="J1866" s="17"/>
      <c r="K1866" s="17"/>
      <c r="L1866" s="17"/>
    </row>
    <row r="1867">
      <c r="A1867" s="11" t="str">
        <f t="shared" si="1"/>
        <v/>
      </c>
      <c r="B1867" s="16"/>
      <c r="C1867" s="16"/>
      <c r="D1867" s="16"/>
      <c r="E1867" s="16"/>
      <c r="F1867" s="17"/>
      <c r="G1867" s="17"/>
      <c r="H1867" s="17"/>
      <c r="I1867" s="17"/>
      <c r="J1867" s="17"/>
      <c r="K1867" s="17"/>
      <c r="L1867" s="17"/>
    </row>
    <row r="1868">
      <c r="A1868" s="11" t="str">
        <f t="shared" si="1"/>
        <v/>
      </c>
      <c r="B1868" s="16"/>
      <c r="C1868" s="16"/>
      <c r="D1868" s="16"/>
      <c r="E1868" s="16"/>
      <c r="F1868" s="17"/>
      <c r="G1868" s="17"/>
      <c r="H1868" s="17"/>
      <c r="I1868" s="17"/>
      <c r="J1868" s="17"/>
      <c r="K1868" s="17"/>
      <c r="L1868" s="17"/>
    </row>
    <row r="1869">
      <c r="A1869" s="11" t="str">
        <f t="shared" si="1"/>
        <v/>
      </c>
      <c r="B1869" s="16"/>
      <c r="C1869" s="16"/>
      <c r="D1869" s="16"/>
      <c r="E1869" s="16"/>
      <c r="F1869" s="17"/>
      <c r="G1869" s="17"/>
      <c r="H1869" s="17"/>
      <c r="I1869" s="17"/>
      <c r="J1869" s="17"/>
      <c r="K1869" s="17"/>
      <c r="L1869" s="17"/>
    </row>
    <row r="1870">
      <c r="A1870" s="11" t="str">
        <f t="shared" si="1"/>
        <v/>
      </c>
      <c r="B1870" s="16"/>
      <c r="C1870" s="16"/>
      <c r="D1870" s="16"/>
      <c r="E1870" s="16"/>
      <c r="F1870" s="17"/>
      <c r="G1870" s="17"/>
      <c r="H1870" s="17"/>
      <c r="I1870" s="17"/>
      <c r="J1870" s="17"/>
      <c r="K1870" s="17"/>
      <c r="L1870" s="17"/>
    </row>
    <row r="1871">
      <c r="A1871" s="11" t="str">
        <f t="shared" si="1"/>
        <v/>
      </c>
      <c r="B1871" s="16"/>
      <c r="C1871" s="16"/>
      <c r="D1871" s="16"/>
      <c r="E1871" s="16"/>
      <c r="F1871" s="17"/>
      <c r="G1871" s="17"/>
      <c r="H1871" s="17"/>
      <c r="I1871" s="17"/>
      <c r="J1871" s="17"/>
      <c r="K1871" s="17"/>
      <c r="L1871" s="17"/>
    </row>
    <row r="1872">
      <c r="A1872" s="11" t="str">
        <f t="shared" si="1"/>
        <v/>
      </c>
      <c r="B1872" s="16"/>
      <c r="C1872" s="16"/>
      <c r="D1872" s="16"/>
      <c r="E1872" s="16"/>
      <c r="F1872" s="17"/>
      <c r="G1872" s="17"/>
      <c r="H1872" s="17"/>
      <c r="I1872" s="17"/>
      <c r="J1872" s="17"/>
      <c r="K1872" s="17"/>
      <c r="L1872" s="17"/>
    </row>
    <row r="1873">
      <c r="A1873" s="11" t="str">
        <f t="shared" si="1"/>
        <v/>
      </c>
      <c r="B1873" s="16"/>
      <c r="C1873" s="16"/>
      <c r="D1873" s="16"/>
      <c r="E1873" s="16"/>
      <c r="F1873" s="17"/>
      <c r="G1873" s="17"/>
      <c r="H1873" s="17"/>
      <c r="I1873" s="17"/>
      <c r="J1873" s="17"/>
      <c r="K1873" s="17"/>
      <c r="L1873" s="17"/>
    </row>
    <row r="1874">
      <c r="A1874" s="11" t="str">
        <f t="shared" si="1"/>
        <v/>
      </c>
      <c r="B1874" s="16"/>
      <c r="C1874" s="16"/>
      <c r="D1874" s="16"/>
      <c r="E1874" s="16"/>
      <c r="F1874" s="17"/>
      <c r="G1874" s="17"/>
      <c r="H1874" s="17"/>
      <c r="I1874" s="17"/>
      <c r="J1874" s="17"/>
      <c r="K1874" s="17"/>
      <c r="L1874" s="17"/>
    </row>
    <row r="1875">
      <c r="A1875" s="11" t="str">
        <f t="shared" si="1"/>
        <v/>
      </c>
      <c r="B1875" s="16"/>
      <c r="C1875" s="16"/>
      <c r="D1875" s="16"/>
      <c r="E1875" s="16"/>
      <c r="F1875" s="17"/>
      <c r="G1875" s="17"/>
      <c r="H1875" s="17"/>
      <c r="I1875" s="17"/>
      <c r="J1875" s="17"/>
      <c r="K1875" s="17"/>
      <c r="L1875" s="17"/>
    </row>
    <row r="1876">
      <c r="A1876" s="11" t="str">
        <f t="shared" si="1"/>
        <v/>
      </c>
      <c r="B1876" s="16"/>
      <c r="C1876" s="16"/>
      <c r="D1876" s="16"/>
      <c r="E1876" s="16"/>
      <c r="F1876" s="17"/>
      <c r="G1876" s="17"/>
      <c r="H1876" s="17"/>
      <c r="I1876" s="17"/>
      <c r="J1876" s="17"/>
      <c r="K1876" s="17"/>
      <c r="L1876" s="17"/>
    </row>
    <row r="1877">
      <c r="A1877" s="11" t="str">
        <f t="shared" si="1"/>
        <v/>
      </c>
      <c r="B1877" s="16"/>
      <c r="C1877" s="16"/>
      <c r="D1877" s="16"/>
      <c r="E1877" s="16"/>
      <c r="F1877" s="17"/>
      <c r="G1877" s="17"/>
      <c r="H1877" s="17"/>
      <c r="I1877" s="17"/>
      <c r="J1877" s="17"/>
      <c r="K1877" s="17"/>
      <c r="L1877" s="17"/>
    </row>
    <row r="1878">
      <c r="A1878" s="11" t="str">
        <f t="shared" si="1"/>
        <v/>
      </c>
      <c r="B1878" s="16"/>
      <c r="C1878" s="16"/>
      <c r="D1878" s="16"/>
      <c r="E1878" s="16"/>
      <c r="F1878" s="17"/>
      <c r="G1878" s="17"/>
      <c r="H1878" s="17"/>
      <c r="I1878" s="17"/>
      <c r="J1878" s="17"/>
      <c r="K1878" s="17"/>
      <c r="L1878" s="17"/>
    </row>
    <row r="1879">
      <c r="A1879" s="11" t="str">
        <f t="shared" si="1"/>
        <v/>
      </c>
      <c r="B1879" s="16"/>
      <c r="C1879" s="16"/>
      <c r="D1879" s="16"/>
      <c r="E1879" s="16"/>
      <c r="F1879" s="17"/>
      <c r="G1879" s="17"/>
      <c r="H1879" s="17"/>
      <c r="I1879" s="17"/>
      <c r="J1879" s="17"/>
      <c r="K1879" s="17"/>
      <c r="L1879" s="17"/>
    </row>
    <row r="1880">
      <c r="A1880" s="11" t="str">
        <f t="shared" si="1"/>
        <v/>
      </c>
      <c r="B1880" s="16"/>
      <c r="C1880" s="16"/>
      <c r="D1880" s="16"/>
      <c r="E1880" s="16"/>
      <c r="F1880" s="17"/>
      <c r="G1880" s="17"/>
      <c r="H1880" s="17"/>
      <c r="I1880" s="17"/>
      <c r="J1880" s="17"/>
      <c r="K1880" s="17"/>
      <c r="L1880" s="17"/>
    </row>
    <row r="1881">
      <c r="A1881" s="11" t="str">
        <f t="shared" si="1"/>
        <v/>
      </c>
      <c r="B1881" s="16"/>
      <c r="C1881" s="16"/>
      <c r="D1881" s="16"/>
      <c r="E1881" s="16"/>
      <c r="F1881" s="17"/>
      <c r="G1881" s="17"/>
      <c r="H1881" s="17"/>
      <c r="I1881" s="17"/>
      <c r="J1881" s="17"/>
      <c r="K1881" s="17"/>
      <c r="L1881" s="17"/>
    </row>
    <row r="1882">
      <c r="A1882" s="11" t="str">
        <f t="shared" si="1"/>
        <v/>
      </c>
      <c r="B1882" s="16"/>
      <c r="C1882" s="16"/>
      <c r="D1882" s="16"/>
      <c r="E1882" s="16"/>
      <c r="F1882" s="17"/>
      <c r="G1882" s="17"/>
      <c r="H1882" s="17"/>
      <c r="I1882" s="17"/>
      <c r="J1882" s="17"/>
      <c r="K1882" s="17"/>
      <c r="L1882" s="17"/>
    </row>
    <row r="1883">
      <c r="A1883" s="11" t="str">
        <f t="shared" si="1"/>
        <v/>
      </c>
      <c r="B1883" s="16"/>
      <c r="C1883" s="16"/>
      <c r="D1883" s="16"/>
      <c r="E1883" s="16"/>
      <c r="F1883" s="17"/>
      <c r="G1883" s="17"/>
      <c r="H1883" s="17"/>
      <c r="I1883" s="17"/>
      <c r="J1883" s="17"/>
      <c r="K1883" s="17"/>
      <c r="L1883" s="17"/>
    </row>
    <row r="1884">
      <c r="A1884" s="11" t="str">
        <f t="shared" si="1"/>
        <v/>
      </c>
      <c r="B1884" s="16"/>
      <c r="C1884" s="16"/>
      <c r="D1884" s="16"/>
      <c r="E1884" s="16"/>
      <c r="F1884" s="17"/>
      <c r="G1884" s="17"/>
      <c r="H1884" s="17"/>
      <c r="I1884" s="17"/>
      <c r="J1884" s="17"/>
      <c r="K1884" s="17"/>
      <c r="L1884" s="17"/>
    </row>
    <row r="1885">
      <c r="A1885" s="11" t="str">
        <f t="shared" si="1"/>
        <v/>
      </c>
      <c r="B1885" s="16"/>
      <c r="C1885" s="16"/>
      <c r="D1885" s="16"/>
      <c r="E1885" s="16"/>
      <c r="F1885" s="17"/>
      <c r="G1885" s="17"/>
      <c r="H1885" s="17"/>
      <c r="I1885" s="17"/>
      <c r="J1885" s="17"/>
      <c r="K1885" s="17"/>
      <c r="L1885" s="17"/>
    </row>
    <row r="1886">
      <c r="A1886" s="11" t="str">
        <f t="shared" si="1"/>
        <v/>
      </c>
      <c r="B1886" s="16"/>
      <c r="C1886" s="16"/>
      <c r="D1886" s="16"/>
      <c r="E1886" s="16"/>
      <c r="F1886" s="17"/>
      <c r="G1886" s="17"/>
      <c r="H1886" s="17"/>
      <c r="I1886" s="17"/>
      <c r="J1886" s="17"/>
      <c r="K1886" s="17"/>
      <c r="L1886" s="17"/>
    </row>
    <row r="1887">
      <c r="A1887" s="11" t="str">
        <f t="shared" si="1"/>
        <v/>
      </c>
      <c r="B1887" s="16"/>
      <c r="C1887" s="16"/>
      <c r="D1887" s="16"/>
      <c r="E1887" s="16"/>
      <c r="F1887" s="17"/>
      <c r="G1887" s="17"/>
      <c r="H1887" s="17"/>
      <c r="I1887" s="17"/>
      <c r="J1887" s="17"/>
      <c r="K1887" s="17"/>
      <c r="L1887" s="17"/>
    </row>
    <row r="1888">
      <c r="A1888" s="11" t="str">
        <f t="shared" si="1"/>
        <v/>
      </c>
      <c r="B1888" s="16"/>
      <c r="C1888" s="16"/>
      <c r="D1888" s="16"/>
      <c r="E1888" s="16"/>
      <c r="F1888" s="17"/>
      <c r="G1888" s="17"/>
      <c r="H1888" s="17"/>
      <c r="I1888" s="17"/>
      <c r="J1888" s="17"/>
      <c r="K1888" s="17"/>
      <c r="L1888" s="17"/>
    </row>
    <row r="1889">
      <c r="A1889" s="11" t="str">
        <f t="shared" si="1"/>
        <v/>
      </c>
      <c r="B1889" s="16"/>
      <c r="C1889" s="16"/>
      <c r="D1889" s="16"/>
      <c r="E1889" s="16"/>
      <c r="F1889" s="17"/>
      <c r="G1889" s="17"/>
      <c r="H1889" s="17"/>
      <c r="I1889" s="17"/>
      <c r="J1889" s="17"/>
      <c r="K1889" s="17"/>
      <c r="L1889" s="17"/>
    </row>
    <row r="1890">
      <c r="A1890" s="11" t="str">
        <f t="shared" si="1"/>
        <v/>
      </c>
      <c r="B1890" s="16"/>
      <c r="C1890" s="16"/>
      <c r="D1890" s="16"/>
      <c r="E1890" s="16"/>
      <c r="F1890" s="17"/>
      <c r="G1890" s="17"/>
      <c r="H1890" s="17"/>
      <c r="I1890" s="17"/>
      <c r="J1890" s="17"/>
      <c r="K1890" s="17"/>
      <c r="L1890" s="17"/>
    </row>
    <row r="1891">
      <c r="A1891" s="11" t="str">
        <f t="shared" si="1"/>
        <v/>
      </c>
      <c r="B1891" s="16"/>
      <c r="C1891" s="16"/>
      <c r="D1891" s="16"/>
      <c r="E1891" s="16"/>
      <c r="F1891" s="17"/>
      <c r="G1891" s="17"/>
      <c r="H1891" s="17"/>
      <c r="I1891" s="17"/>
      <c r="J1891" s="17"/>
      <c r="K1891" s="17"/>
      <c r="L1891" s="17"/>
    </row>
    <row r="1892">
      <c r="A1892" s="11" t="str">
        <f t="shared" si="1"/>
        <v/>
      </c>
      <c r="B1892" s="16"/>
      <c r="C1892" s="16"/>
      <c r="D1892" s="16"/>
      <c r="E1892" s="16"/>
      <c r="F1892" s="17"/>
      <c r="G1892" s="17"/>
      <c r="H1892" s="17"/>
      <c r="I1892" s="17"/>
      <c r="J1892" s="17"/>
      <c r="K1892" s="17"/>
      <c r="L1892" s="17"/>
    </row>
    <row r="1893">
      <c r="A1893" s="11" t="str">
        <f t="shared" si="1"/>
        <v/>
      </c>
      <c r="B1893" s="16"/>
      <c r="C1893" s="16"/>
      <c r="D1893" s="16"/>
      <c r="E1893" s="16"/>
      <c r="F1893" s="17"/>
      <c r="G1893" s="17"/>
      <c r="H1893" s="17"/>
      <c r="I1893" s="17"/>
      <c r="J1893" s="17"/>
      <c r="K1893" s="17"/>
      <c r="L1893" s="17"/>
    </row>
    <row r="1894">
      <c r="A1894" s="11" t="str">
        <f t="shared" si="1"/>
        <v/>
      </c>
      <c r="B1894" s="16"/>
      <c r="C1894" s="16"/>
      <c r="D1894" s="16"/>
      <c r="E1894" s="16"/>
      <c r="F1894" s="17"/>
      <c r="G1894" s="17"/>
      <c r="H1894" s="17"/>
      <c r="I1894" s="17"/>
      <c r="J1894" s="17"/>
      <c r="K1894" s="17"/>
      <c r="L1894" s="17"/>
    </row>
    <row r="1895">
      <c r="A1895" s="11" t="str">
        <f t="shared" si="1"/>
        <v/>
      </c>
      <c r="B1895" s="16"/>
      <c r="C1895" s="16"/>
      <c r="D1895" s="16"/>
      <c r="E1895" s="16"/>
      <c r="F1895" s="17"/>
      <c r="G1895" s="17"/>
      <c r="H1895" s="17"/>
      <c r="I1895" s="17"/>
      <c r="J1895" s="17"/>
      <c r="K1895" s="17"/>
      <c r="L1895" s="17"/>
    </row>
    <row r="1896">
      <c r="A1896" s="11" t="str">
        <f t="shared" si="1"/>
        <v/>
      </c>
      <c r="B1896" s="16"/>
      <c r="C1896" s="16"/>
      <c r="D1896" s="16"/>
      <c r="E1896" s="16"/>
      <c r="F1896" s="17"/>
      <c r="G1896" s="17"/>
      <c r="H1896" s="17"/>
      <c r="I1896" s="17"/>
      <c r="J1896" s="17"/>
      <c r="K1896" s="17"/>
      <c r="L1896" s="17"/>
    </row>
    <row r="1897">
      <c r="A1897" s="11" t="str">
        <f t="shared" si="1"/>
        <v/>
      </c>
      <c r="B1897" s="16"/>
      <c r="C1897" s="16"/>
      <c r="D1897" s="16"/>
      <c r="E1897" s="16"/>
      <c r="F1897" s="17"/>
      <c r="G1897" s="17"/>
      <c r="H1897" s="17"/>
      <c r="I1897" s="17"/>
      <c r="J1897" s="17"/>
      <c r="K1897" s="17"/>
      <c r="L1897" s="17"/>
    </row>
    <row r="1898">
      <c r="A1898" s="11" t="str">
        <f t="shared" si="1"/>
        <v/>
      </c>
      <c r="B1898" s="16"/>
      <c r="C1898" s="16"/>
      <c r="D1898" s="16"/>
      <c r="E1898" s="16"/>
      <c r="F1898" s="17"/>
      <c r="G1898" s="17"/>
      <c r="H1898" s="17"/>
      <c r="I1898" s="17"/>
      <c r="J1898" s="17"/>
      <c r="K1898" s="17"/>
      <c r="L1898" s="17"/>
    </row>
    <row r="1899">
      <c r="A1899" s="11" t="str">
        <f t="shared" si="1"/>
        <v/>
      </c>
      <c r="B1899" s="16"/>
      <c r="C1899" s="16"/>
      <c r="D1899" s="16"/>
      <c r="E1899" s="16"/>
      <c r="F1899" s="17"/>
      <c r="G1899" s="17"/>
      <c r="H1899" s="17"/>
      <c r="I1899" s="17"/>
      <c r="J1899" s="17"/>
      <c r="K1899" s="17"/>
      <c r="L1899" s="17"/>
    </row>
    <row r="1900">
      <c r="A1900" s="11" t="str">
        <f t="shared" si="1"/>
        <v/>
      </c>
      <c r="B1900" s="16"/>
      <c r="C1900" s="16"/>
      <c r="D1900" s="16"/>
      <c r="E1900" s="16"/>
      <c r="F1900" s="17"/>
      <c r="G1900" s="17"/>
      <c r="H1900" s="17"/>
      <c r="I1900" s="17"/>
      <c r="J1900" s="17"/>
      <c r="K1900" s="17"/>
      <c r="L1900" s="17"/>
    </row>
    <row r="1901">
      <c r="A1901" s="11" t="str">
        <f t="shared" si="1"/>
        <v/>
      </c>
      <c r="B1901" s="16"/>
      <c r="C1901" s="16"/>
      <c r="D1901" s="16"/>
      <c r="E1901" s="16"/>
      <c r="F1901" s="17"/>
      <c r="G1901" s="17"/>
      <c r="H1901" s="17"/>
      <c r="I1901" s="17"/>
      <c r="J1901" s="17"/>
      <c r="K1901" s="17"/>
      <c r="L1901" s="17"/>
    </row>
    <row r="1902">
      <c r="A1902" s="11" t="str">
        <f t="shared" si="1"/>
        <v/>
      </c>
      <c r="B1902" s="16"/>
      <c r="C1902" s="16"/>
      <c r="D1902" s="16"/>
      <c r="E1902" s="16"/>
      <c r="F1902" s="17"/>
      <c r="G1902" s="17"/>
      <c r="H1902" s="17"/>
      <c r="I1902" s="17"/>
      <c r="J1902" s="17"/>
      <c r="K1902" s="17"/>
      <c r="L1902" s="17"/>
    </row>
    <row r="1903">
      <c r="A1903" s="11" t="str">
        <f t="shared" si="1"/>
        <v/>
      </c>
      <c r="B1903" s="16"/>
      <c r="C1903" s="16"/>
      <c r="D1903" s="16"/>
      <c r="E1903" s="16"/>
      <c r="F1903" s="17"/>
      <c r="G1903" s="17"/>
      <c r="H1903" s="17"/>
      <c r="I1903" s="17"/>
      <c r="J1903" s="17"/>
      <c r="K1903" s="17"/>
      <c r="L1903" s="17"/>
    </row>
    <row r="1904">
      <c r="A1904" s="11" t="str">
        <f t="shared" si="1"/>
        <v/>
      </c>
      <c r="B1904" s="16"/>
      <c r="C1904" s="16"/>
      <c r="D1904" s="16"/>
      <c r="E1904" s="16"/>
      <c r="F1904" s="17"/>
      <c r="G1904" s="17"/>
      <c r="H1904" s="17"/>
      <c r="I1904" s="17"/>
      <c r="J1904" s="17"/>
      <c r="K1904" s="17"/>
      <c r="L1904" s="17"/>
    </row>
    <row r="1905">
      <c r="A1905" s="11" t="str">
        <f t="shared" si="1"/>
        <v/>
      </c>
      <c r="B1905" s="16"/>
      <c r="C1905" s="16"/>
      <c r="D1905" s="16"/>
      <c r="E1905" s="16"/>
      <c r="F1905" s="17"/>
      <c r="G1905" s="17"/>
      <c r="H1905" s="17"/>
      <c r="I1905" s="17"/>
      <c r="J1905" s="17"/>
      <c r="K1905" s="17"/>
      <c r="L1905" s="17"/>
    </row>
    <row r="1906">
      <c r="A1906" s="11" t="str">
        <f t="shared" si="1"/>
        <v/>
      </c>
      <c r="B1906" s="16"/>
      <c r="C1906" s="16"/>
      <c r="D1906" s="16"/>
      <c r="E1906" s="16"/>
      <c r="F1906" s="17"/>
      <c r="G1906" s="17"/>
      <c r="H1906" s="17"/>
      <c r="I1906" s="17"/>
      <c r="J1906" s="17"/>
      <c r="K1906" s="17"/>
      <c r="L1906" s="17"/>
    </row>
    <row r="1907">
      <c r="A1907" s="11" t="str">
        <f t="shared" si="1"/>
        <v/>
      </c>
      <c r="B1907" s="16"/>
      <c r="C1907" s="16"/>
      <c r="D1907" s="16"/>
      <c r="E1907" s="16"/>
      <c r="F1907" s="17"/>
      <c r="G1907" s="17"/>
      <c r="H1907" s="17"/>
      <c r="I1907" s="17"/>
      <c r="J1907" s="17"/>
      <c r="K1907" s="17"/>
      <c r="L1907" s="17"/>
    </row>
    <row r="1908">
      <c r="A1908" s="11" t="str">
        <f t="shared" si="1"/>
        <v/>
      </c>
      <c r="B1908" s="16"/>
      <c r="C1908" s="16"/>
      <c r="D1908" s="16"/>
      <c r="E1908" s="16"/>
      <c r="F1908" s="17"/>
      <c r="G1908" s="17"/>
      <c r="H1908" s="17"/>
      <c r="I1908" s="17"/>
      <c r="J1908" s="17"/>
      <c r="K1908" s="17"/>
      <c r="L1908" s="17"/>
    </row>
    <row r="1909">
      <c r="A1909" s="11" t="str">
        <f t="shared" si="1"/>
        <v/>
      </c>
      <c r="B1909" s="16"/>
      <c r="C1909" s="16"/>
      <c r="D1909" s="16"/>
      <c r="E1909" s="16"/>
      <c r="F1909" s="17"/>
      <c r="G1909" s="17"/>
      <c r="H1909" s="17"/>
      <c r="I1909" s="17"/>
      <c r="J1909" s="17"/>
      <c r="K1909" s="17"/>
      <c r="L1909" s="17"/>
    </row>
    <row r="1910">
      <c r="A1910" s="11" t="str">
        <f t="shared" si="1"/>
        <v/>
      </c>
      <c r="B1910" s="16"/>
      <c r="C1910" s="16"/>
      <c r="D1910" s="16"/>
      <c r="E1910" s="16"/>
      <c r="F1910" s="17"/>
      <c r="G1910" s="17"/>
      <c r="H1910" s="17"/>
      <c r="I1910" s="17"/>
      <c r="J1910" s="17"/>
      <c r="K1910" s="17"/>
      <c r="L1910" s="17"/>
    </row>
    <row r="1911">
      <c r="A1911" s="11" t="str">
        <f t="shared" si="1"/>
        <v/>
      </c>
      <c r="B1911" s="16"/>
      <c r="C1911" s="16"/>
      <c r="D1911" s="16"/>
      <c r="E1911" s="16"/>
      <c r="F1911" s="17"/>
      <c r="G1911" s="17"/>
      <c r="H1911" s="17"/>
      <c r="I1911" s="17"/>
      <c r="J1911" s="17"/>
      <c r="K1911" s="17"/>
      <c r="L1911" s="17"/>
    </row>
    <row r="1912">
      <c r="A1912" s="11" t="str">
        <f t="shared" si="1"/>
        <v/>
      </c>
      <c r="B1912" s="16"/>
      <c r="C1912" s="16"/>
      <c r="D1912" s="16"/>
      <c r="E1912" s="16"/>
      <c r="F1912" s="17"/>
      <c r="G1912" s="17"/>
      <c r="H1912" s="17"/>
      <c r="I1912" s="17"/>
      <c r="J1912" s="17"/>
      <c r="K1912" s="17"/>
      <c r="L1912" s="17"/>
    </row>
    <row r="1913">
      <c r="A1913" s="11" t="str">
        <f t="shared" si="1"/>
        <v/>
      </c>
      <c r="B1913" s="16"/>
      <c r="C1913" s="16"/>
      <c r="D1913" s="16"/>
      <c r="E1913" s="16"/>
      <c r="F1913" s="17"/>
      <c r="G1913" s="17"/>
      <c r="H1913" s="17"/>
      <c r="I1913" s="17"/>
      <c r="J1913" s="17"/>
      <c r="K1913" s="17"/>
      <c r="L1913" s="17"/>
    </row>
    <row r="1914">
      <c r="A1914" s="11" t="str">
        <f t="shared" si="1"/>
        <v/>
      </c>
      <c r="B1914" s="16"/>
      <c r="C1914" s="16"/>
      <c r="D1914" s="16"/>
      <c r="E1914" s="16"/>
      <c r="F1914" s="17"/>
      <c r="G1914" s="17"/>
      <c r="H1914" s="17"/>
      <c r="I1914" s="17"/>
      <c r="J1914" s="17"/>
      <c r="K1914" s="17"/>
      <c r="L1914" s="17"/>
    </row>
    <row r="1915">
      <c r="A1915" s="11" t="str">
        <f t="shared" si="1"/>
        <v/>
      </c>
      <c r="B1915" s="16"/>
      <c r="C1915" s="16"/>
      <c r="D1915" s="16"/>
      <c r="E1915" s="16"/>
      <c r="F1915" s="17"/>
      <c r="G1915" s="17"/>
      <c r="H1915" s="17"/>
      <c r="I1915" s="17"/>
      <c r="J1915" s="17"/>
      <c r="K1915" s="17"/>
      <c r="L1915" s="17"/>
    </row>
    <row r="1916">
      <c r="A1916" s="11" t="str">
        <f t="shared" si="1"/>
        <v/>
      </c>
      <c r="B1916" s="16"/>
      <c r="C1916" s="16"/>
      <c r="D1916" s="16"/>
      <c r="E1916" s="16"/>
      <c r="F1916" s="17"/>
      <c r="G1916" s="17"/>
      <c r="H1916" s="17"/>
      <c r="I1916" s="17"/>
      <c r="J1916" s="17"/>
      <c r="K1916" s="17"/>
      <c r="L1916" s="17"/>
    </row>
    <row r="1917">
      <c r="A1917" s="11" t="str">
        <f t="shared" si="1"/>
        <v/>
      </c>
      <c r="B1917" s="16"/>
      <c r="C1917" s="16"/>
      <c r="D1917" s="16"/>
      <c r="E1917" s="16"/>
      <c r="F1917" s="17"/>
      <c r="G1917" s="17"/>
      <c r="H1917" s="17"/>
      <c r="I1917" s="17"/>
      <c r="J1917" s="17"/>
      <c r="K1917" s="17"/>
      <c r="L1917" s="17"/>
    </row>
    <row r="1918">
      <c r="A1918" s="11" t="str">
        <f t="shared" si="1"/>
        <v/>
      </c>
      <c r="B1918" s="16"/>
      <c r="C1918" s="16"/>
      <c r="D1918" s="16"/>
      <c r="E1918" s="16"/>
      <c r="F1918" s="17"/>
      <c r="G1918" s="17"/>
      <c r="H1918" s="17"/>
      <c r="I1918" s="17"/>
      <c r="J1918" s="17"/>
      <c r="K1918" s="17"/>
      <c r="L1918" s="17"/>
    </row>
    <row r="1919">
      <c r="A1919" s="11" t="str">
        <f t="shared" si="1"/>
        <v/>
      </c>
      <c r="B1919" s="16"/>
      <c r="C1919" s="16"/>
      <c r="D1919" s="16"/>
      <c r="E1919" s="16"/>
      <c r="F1919" s="17"/>
      <c r="G1919" s="17"/>
      <c r="H1919" s="17"/>
      <c r="I1919" s="17"/>
      <c r="J1919" s="17"/>
      <c r="K1919" s="17"/>
      <c r="L1919" s="17"/>
    </row>
    <row r="1920">
      <c r="A1920" s="11" t="str">
        <f t="shared" si="1"/>
        <v/>
      </c>
      <c r="B1920" s="16"/>
      <c r="C1920" s="16"/>
      <c r="D1920" s="16"/>
      <c r="E1920" s="16"/>
      <c r="F1920" s="17"/>
      <c r="G1920" s="17"/>
      <c r="H1920" s="17"/>
      <c r="I1920" s="17"/>
      <c r="J1920" s="17"/>
      <c r="K1920" s="17"/>
      <c r="L1920" s="17"/>
    </row>
    <row r="1921">
      <c r="A1921" s="11" t="str">
        <f t="shared" si="1"/>
        <v/>
      </c>
      <c r="B1921" s="16"/>
      <c r="C1921" s="16"/>
      <c r="D1921" s="16"/>
      <c r="E1921" s="16"/>
      <c r="F1921" s="17"/>
      <c r="G1921" s="17"/>
      <c r="H1921" s="17"/>
      <c r="I1921" s="17"/>
      <c r="J1921" s="17"/>
      <c r="K1921" s="17"/>
      <c r="L1921" s="17"/>
    </row>
    <row r="1922">
      <c r="A1922" s="11" t="str">
        <f t="shared" si="1"/>
        <v/>
      </c>
      <c r="B1922" s="16"/>
      <c r="C1922" s="16"/>
      <c r="D1922" s="16"/>
      <c r="E1922" s="16"/>
      <c r="F1922" s="17"/>
      <c r="G1922" s="17"/>
      <c r="H1922" s="17"/>
      <c r="I1922" s="17"/>
      <c r="J1922" s="17"/>
      <c r="K1922" s="17"/>
      <c r="L1922" s="17"/>
    </row>
    <row r="1923">
      <c r="A1923" s="11" t="str">
        <f t="shared" si="1"/>
        <v/>
      </c>
      <c r="B1923" s="16"/>
      <c r="C1923" s="16"/>
      <c r="D1923" s="16"/>
      <c r="E1923" s="16"/>
      <c r="F1923" s="17"/>
      <c r="G1923" s="17"/>
      <c r="H1923" s="17"/>
      <c r="I1923" s="17"/>
      <c r="J1923" s="17"/>
      <c r="K1923" s="17"/>
      <c r="L1923" s="17"/>
    </row>
    <row r="1924">
      <c r="A1924" s="11" t="str">
        <f t="shared" si="1"/>
        <v/>
      </c>
      <c r="B1924" s="16"/>
      <c r="C1924" s="16"/>
      <c r="D1924" s="16"/>
      <c r="E1924" s="16"/>
      <c r="F1924" s="17"/>
      <c r="G1924" s="17"/>
      <c r="H1924" s="17"/>
      <c r="I1924" s="17"/>
      <c r="J1924" s="17"/>
      <c r="K1924" s="17"/>
      <c r="L1924" s="17"/>
    </row>
    <row r="1925">
      <c r="A1925" s="11" t="str">
        <f t="shared" si="1"/>
        <v/>
      </c>
      <c r="B1925" s="16"/>
      <c r="C1925" s="16"/>
      <c r="D1925" s="16"/>
      <c r="E1925" s="16"/>
      <c r="F1925" s="17"/>
      <c r="G1925" s="17"/>
      <c r="H1925" s="17"/>
      <c r="I1925" s="17"/>
      <c r="J1925" s="17"/>
      <c r="K1925" s="17"/>
      <c r="L1925" s="17"/>
    </row>
    <row r="1926">
      <c r="A1926" s="11" t="str">
        <f t="shared" si="1"/>
        <v/>
      </c>
      <c r="B1926" s="16"/>
      <c r="C1926" s="16"/>
      <c r="D1926" s="16"/>
      <c r="E1926" s="16"/>
      <c r="F1926" s="17"/>
      <c r="G1926" s="17"/>
      <c r="H1926" s="17"/>
      <c r="I1926" s="17"/>
      <c r="J1926" s="17"/>
      <c r="K1926" s="17"/>
      <c r="L1926" s="17"/>
    </row>
    <row r="1927">
      <c r="A1927" s="11" t="str">
        <f t="shared" si="1"/>
        <v/>
      </c>
      <c r="B1927" s="16"/>
      <c r="C1927" s="16"/>
      <c r="D1927" s="16"/>
      <c r="E1927" s="16"/>
      <c r="F1927" s="17"/>
      <c r="G1927" s="17"/>
      <c r="H1927" s="17"/>
      <c r="I1927" s="17"/>
      <c r="J1927" s="17"/>
      <c r="K1927" s="17"/>
      <c r="L1927" s="17"/>
    </row>
    <row r="1928">
      <c r="A1928" s="11" t="str">
        <f t="shared" si="1"/>
        <v/>
      </c>
      <c r="B1928" s="16"/>
      <c r="C1928" s="16"/>
      <c r="D1928" s="16"/>
      <c r="E1928" s="16"/>
      <c r="F1928" s="17"/>
      <c r="G1928" s="17"/>
      <c r="H1928" s="17"/>
      <c r="I1928" s="17"/>
      <c r="J1928" s="17"/>
      <c r="K1928" s="17"/>
      <c r="L1928" s="17"/>
    </row>
    <row r="1929">
      <c r="A1929" s="11" t="str">
        <f t="shared" si="1"/>
        <v/>
      </c>
      <c r="B1929" s="16"/>
      <c r="C1929" s="16"/>
      <c r="D1929" s="16"/>
      <c r="E1929" s="16"/>
      <c r="F1929" s="17"/>
      <c r="G1929" s="17"/>
      <c r="H1929" s="17"/>
      <c r="I1929" s="17"/>
      <c r="J1929" s="17"/>
      <c r="K1929" s="17"/>
      <c r="L1929" s="17"/>
    </row>
    <row r="1930">
      <c r="A1930" s="11" t="str">
        <f t="shared" si="1"/>
        <v/>
      </c>
      <c r="B1930" s="16"/>
      <c r="C1930" s="16"/>
      <c r="D1930" s="16"/>
      <c r="E1930" s="16"/>
      <c r="F1930" s="17"/>
      <c r="G1930" s="17"/>
      <c r="H1930" s="17"/>
      <c r="I1930" s="17"/>
      <c r="J1930" s="17"/>
      <c r="K1930" s="17"/>
      <c r="L1930" s="17"/>
    </row>
    <row r="1931">
      <c r="A1931" s="11" t="str">
        <f t="shared" si="1"/>
        <v/>
      </c>
      <c r="B1931" s="16"/>
      <c r="C1931" s="16"/>
      <c r="D1931" s="16"/>
      <c r="E1931" s="16"/>
      <c r="F1931" s="17"/>
      <c r="G1931" s="17"/>
      <c r="H1931" s="17"/>
      <c r="I1931" s="17"/>
      <c r="J1931" s="17"/>
      <c r="K1931" s="17"/>
      <c r="L1931" s="17"/>
    </row>
    <row r="1932">
      <c r="A1932" s="11" t="str">
        <f t="shared" si="1"/>
        <v/>
      </c>
      <c r="B1932" s="16"/>
      <c r="C1932" s="16"/>
      <c r="D1932" s="16"/>
      <c r="E1932" s="16"/>
      <c r="F1932" s="17"/>
      <c r="G1932" s="17"/>
      <c r="H1932" s="17"/>
      <c r="I1932" s="17"/>
      <c r="J1932" s="17"/>
      <c r="K1932" s="17"/>
      <c r="L1932" s="17"/>
    </row>
    <row r="1933">
      <c r="A1933" s="11" t="str">
        <f t="shared" si="1"/>
        <v/>
      </c>
      <c r="B1933" s="16"/>
      <c r="C1933" s="16"/>
      <c r="D1933" s="16"/>
      <c r="E1933" s="16"/>
      <c r="F1933" s="17"/>
      <c r="G1933" s="17"/>
      <c r="H1933" s="17"/>
      <c r="I1933" s="17"/>
      <c r="J1933" s="17"/>
      <c r="K1933" s="17"/>
      <c r="L1933" s="17"/>
    </row>
    <row r="1934">
      <c r="A1934" s="11" t="str">
        <f t="shared" si="1"/>
        <v/>
      </c>
      <c r="B1934" s="16"/>
      <c r="C1934" s="16"/>
      <c r="D1934" s="16"/>
      <c r="E1934" s="16"/>
      <c r="F1934" s="17"/>
      <c r="G1934" s="17"/>
      <c r="H1934" s="17"/>
      <c r="I1934" s="17"/>
      <c r="J1934" s="17"/>
      <c r="K1934" s="17"/>
      <c r="L1934" s="17"/>
    </row>
    <row r="1935">
      <c r="A1935" s="11" t="str">
        <f t="shared" si="1"/>
        <v/>
      </c>
      <c r="B1935" s="16"/>
      <c r="C1935" s="16"/>
      <c r="D1935" s="16"/>
      <c r="E1935" s="16"/>
      <c r="F1935" s="17"/>
      <c r="G1935" s="17"/>
      <c r="H1935" s="17"/>
      <c r="I1935" s="17"/>
      <c r="J1935" s="17"/>
      <c r="K1935" s="17"/>
      <c r="L1935" s="17"/>
    </row>
    <row r="1936">
      <c r="A1936" s="11" t="str">
        <f t="shared" si="1"/>
        <v/>
      </c>
      <c r="B1936" s="16"/>
      <c r="C1936" s="16"/>
      <c r="D1936" s="16"/>
      <c r="E1936" s="16"/>
      <c r="F1936" s="17"/>
      <c r="G1936" s="17"/>
      <c r="H1936" s="17"/>
      <c r="I1936" s="17"/>
      <c r="J1936" s="17"/>
      <c r="K1936" s="17"/>
      <c r="L1936" s="17"/>
    </row>
    <row r="1937">
      <c r="A1937" s="11" t="str">
        <f t="shared" si="1"/>
        <v/>
      </c>
      <c r="B1937" s="16"/>
      <c r="C1937" s="16"/>
      <c r="D1937" s="16"/>
      <c r="E1937" s="16"/>
      <c r="F1937" s="17"/>
      <c r="G1937" s="17"/>
      <c r="H1937" s="17"/>
      <c r="I1937" s="17"/>
      <c r="J1937" s="17"/>
      <c r="K1937" s="17"/>
      <c r="L1937" s="17"/>
    </row>
    <row r="1938">
      <c r="A1938" s="11" t="str">
        <f t="shared" si="1"/>
        <v/>
      </c>
      <c r="B1938" s="16"/>
      <c r="C1938" s="16"/>
      <c r="D1938" s="16"/>
      <c r="E1938" s="16"/>
      <c r="F1938" s="17"/>
      <c r="G1938" s="17"/>
      <c r="H1938" s="17"/>
      <c r="I1938" s="17"/>
      <c r="J1938" s="17"/>
      <c r="K1938" s="17"/>
      <c r="L1938" s="17"/>
    </row>
    <row r="1939">
      <c r="A1939" s="11" t="str">
        <f t="shared" si="1"/>
        <v/>
      </c>
      <c r="B1939" s="16"/>
      <c r="C1939" s="16"/>
      <c r="D1939" s="16"/>
      <c r="E1939" s="16"/>
      <c r="F1939" s="17"/>
      <c r="G1939" s="17"/>
      <c r="H1939" s="17"/>
      <c r="I1939" s="17"/>
      <c r="J1939" s="17"/>
      <c r="K1939" s="17"/>
      <c r="L1939" s="17"/>
    </row>
    <row r="1940">
      <c r="A1940" s="11" t="str">
        <f t="shared" si="1"/>
        <v/>
      </c>
      <c r="B1940" s="16"/>
      <c r="C1940" s="16"/>
      <c r="D1940" s="16"/>
      <c r="E1940" s="16"/>
      <c r="F1940" s="17"/>
      <c r="G1940" s="17"/>
      <c r="H1940" s="17"/>
      <c r="I1940" s="17"/>
      <c r="J1940" s="17"/>
      <c r="K1940" s="17"/>
      <c r="L1940" s="17"/>
    </row>
    <row r="1941">
      <c r="A1941" s="11" t="str">
        <f t="shared" si="1"/>
        <v/>
      </c>
      <c r="B1941" s="16"/>
      <c r="C1941" s="16"/>
      <c r="D1941" s="16"/>
      <c r="E1941" s="16"/>
      <c r="F1941" s="17"/>
      <c r="G1941" s="17"/>
      <c r="H1941" s="17"/>
      <c r="I1941" s="17"/>
      <c r="J1941" s="17"/>
      <c r="K1941" s="17"/>
      <c r="L1941" s="17"/>
    </row>
    <row r="1942">
      <c r="A1942" s="11" t="str">
        <f t="shared" si="1"/>
        <v/>
      </c>
      <c r="B1942" s="16"/>
      <c r="C1942" s="16"/>
      <c r="D1942" s="16"/>
      <c r="E1942" s="16"/>
      <c r="F1942" s="17"/>
      <c r="G1942" s="17"/>
      <c r="H1942" s="17"/>
      <c r="I1942" s="17"/>
      <c r="J1942" s="17"/>
      <c r="K1942" s="17"/>
      <c r="L1942" s="17"/>
    </row>
    <row r="1943">
      <c r="A1943" s="11" t="str">
        <f t="shared" si="1"/>
        <v/>
      </c>
      <c r="B1943" s="16"/>
      <c r="C1943" s="16"/>
      <c r="D1943" s="16"/>
      <c r="E1943" s="16"/>
      <c r="F1943" s="17"/>
      <c r="G1943" s="17"/>
      <c r="H1943" s="17"/>
      <c r="I1943" s="17"/>
      <c r="J1943" s="17"/>
      <c r="K1943" s="17"/>
      <c r="L1943" s="17"/>
    </row>
    <row r="1944">
      <c r="A1944" s="11" t="str">
        <f t="shared" si="1"/>
        <v/>
      </c>
      <c r="B1944" s="16"/>
      <c r="C1944" s="16"/>
      <c r="D1944" s="16"/>
      <c r="E1944" s="16"/>
      <c r="F1944" s="17"/>
      <c r="G1944" s="17"/>
      <c r="H1944" s="17"/>
      <c r="I1944" s="17"/>
      <c r="J1944" s="17"/>
      <c r="K1944" s="17"/>
      <c r="L1944" s="17"/>
    </row>
    <row r="1945">
      <c r="A1945" s="11" t="str">
        <f t="shared" si="1"/>
        <v/>
      </c>
      <c r="B1945" s="16"/>
      <c r="C1945" s="16"/>
      <c r="D1945" s="16"/>
      <c r="E1945" s="16"/>
      <c r="F1945" s="17"/>
      <c r="G1945" s="17"/>
      <c r="H1945" s="17"/>
      <c r="I1945" s="17"/>
      <c r="J1945" s="17"/>
      <c r="K1945" s="17"/>
      <c r="L1945" s="17"/>
    </row>
    <row r="1946">
      <c r="A1946" s="11" t="str">
        <f t="shared" si="1"/>
        <v/>
      </c>
      <c r="B1946" s="16"/>
      <c r="C1946" s="16"/>
      <c r="D1946" s="16"/>
      <c r="E1946" s="16"/>
      <c r="F1946" s="17"/>
      <c r="G1946" s="17"/>
      <c r="H1946" s="17"/>
      <c r="I1946" s="17"/>
      <c r="J1946" s="17"/>
      <c r="K1946" s="17"/>
      <c r="L1946" s="17"/>
    </row>
    <row r="1947">
      <c r="A1947" s="11" t="str">
        <f t="shared" si="1"/>
        <v/>
      </c>
      <c r="B1947" s="16"/>
      <c r="C1947" s="16"/>
      <c r="D1947" s="16"/>
      <c r="E1947" s="16"/>
      <c r="F1947" s="17"/>
      <c r="G1947" s="17"/>
      <c r="H1947" s="17"/>
      <c r="I1947" s="17"/>
      <c r="J1947" s="17"/>
      <c r="K1947" s="17"/>
      <c r="L1947" s="17"/>
    </row>
    <row r="1948">
      <c r="A1948" s="11" t="str">
        <f t="shared" si="1"/>
        <v/>
      </c>
      <c r="B1948" s="16"/>
      <c r="C1948" s="16"/>
      <c r="D1948" s="16"/>
      <c r="E1948" s="16"/>
      <c r="F1948" s="17"/>
      <c r="G1948" s="17"/>
      <c r="H1948" s="17"/>
      <c r="I1948" s="17"/>
      <c r="J1948" s="17"/>
      <c r="K1948" s="17"/>
      <c r="L1948" s="17"/>
    </row>
    <row r="1949">
      <c r="A1949" s="11" t="str">
        <f t="shared" si="1"/>
        <v/>
      </c>
      <c r="B1949" s="16"/>
      <c r="C1949" s="16"/>
      <c r="D1949" s="16"/>
      <c r="E1949" s="16"/>
      <c r="F1949" s="17"/>
      <c r="G1949" s="17"/>
      <c r="H1949" s="17"/>
      <c r="I1949" s="17"/>
      <c r="J1949" s="17"/>
      <c r="K1949" s="17"/>
      <c r="L1949" s="17"/>
    </row>
    <row r="1950">
      <c r="A1950" s="11" t="str">
        <f t="shared" si="1"/>
        <v/>
      </c>
      <c r="B1950" s="16"/>
      <c r="C1950" s="16"/>
      <c r="D1950" s="16"/>
      <c r="E1950" s="16"/>
      <c r="F1950" s="17"/>
      <c r="G1950" s="17"/>
      <c r="H1950" s="17"/>
      <c r="I1950" s="17"/>
      <c r="J1950" s="17"/>
      <c r="K1950" s="17"/>
      <c r="L1950" s="17"/>
    </row>
    <row r="1951">
      <c r="A1951" s="11" t="str">
        <f t="shared" si="1"/>
        <v/>
      </c>
      <c r="B1951" s="16"/>
      <c r="C1951" s="16"/>
      <c r="D1951" s="16"/>
      <c r="E1951" s="16"/>
      <c r="F1951" s="17"/>
      <c r="G1951" s="17"/>
      <c r="H1951" s="17"/>
      <c r="I1951" s="17"/>
      <c r="J1951" s="17"/>
      <c r="K1951" s="17"/>
      <c r="L1951" s="17"/>
    </row>
    <row r="1952">
      <c r="A1952" s="11" t="str">
        <f t="shared" si="1"/>
        <v/>
      </c>
      <c r="B1952" s="16"/>
      <c r="C1952" s="16"/>
      <c r="D1952" s="16"/>
      <c r="E1952" s="16"/>
      <c r="F1952" s="17"/>
      <c r="G1952" s="17"/>
      <c r="H1952" s="17"/>
      <c r="I1952" s="17"/>
      <c r="J1952" s="17"/>
      <c r="K1952" s="17"/>
      <c r="L1952" s="17"/>
    </row>
    <row r="1953">
      <c r="A1953" s="11" t="str">
        <f t="shared" si="1"/>
        <v/>
      </c>
      <c r="B1953" s="16"/>
      <c r="C1953" s="16"/>
      <c r="D1953" s="16"/>
      <c r="E1953" s="16"/>
      <c r="F1953" s="17"/>
      <c r="G1953" s="17"/>
      <c r="H1953" s="17"/>
      <c r="I1953" s="17"/>
      <c r="J1953" s="17"/>
      <c r="K1953" s="17"/>
      <c r="L1953" s="17"/>
    </row>
    <row r="1954">
      <c r="A1954" s="11" t="str">
        <f t="shared" si="1"/>
        <v/>
      </c>
      <c r="B1954" s="16"/>
      <c r="C1954" s="16"/>
      <c r="D1954" s="16"/>
      <c r="E1954" s="16"/>
      <c r="F1954" s="17"/>
      <c r="G1954" s="17"/>
      <c r="H1954" s="17"/>
      <c r="I1954" s="17"/>
      <c r="J1954" s="17"/>
      <c r="K1954" s="17"/>
      <c r="L1954" s="17"/>
    </row>
    <row r="1955">
      <c r="A1955" s="11" t="str">
        <f t="shared" si="1"/>
        <v/>
      </c>
      <c r="B1955" s="16"/>
      <c r="C1955" s="16"/>
      <c r="D1955" s="16"/>
      <c r="E1955" s="16"/>
      <c r="F1955" s="17"/>
      <c r="G1955" s="17"/>
      <c r="H1955" s="17"/>
      <c r="I1955" s="17"/>
      <c r="J1955" s="17"/>
      <c r="K1955" s="17"/>
      <c r="L1955" s="17"/>
    </row>
    <row r="1956">
      <c r="A1956" s="11" t="str">
        <f t="shared" si="1"/>
        <v/>
      </c>
      <c r="B1956" s="16"/>
      <c r="C1956" s="16"/>
      <c r="D1956" s="16"/>
      <c r="E1956" s="16"/>
      <c r="F1956" s="17"/>
      <c r="G1956" s="17"/>
      <c r="H1956" s="17"/>
      <c r="I1956" s="17"/>
      <c r="J1956" s="17"/>
      <c r="K1956" s="17"/>
      <c r="L1956" s="17"/>
    </row>
    <row r="1957">
      <c r="A1957" s="11" t="str">
        <f t="shared" si="1"/>
        <v/>
      </c>
      <c r="B1957" s="16"/>
      <c r="C1957" s="16"/>
      <c r="D1957" s="16"/>
      <c r="E1957" s="16"/>
      <c r="F1957" s="17"/>
      <c r="G1957" s="17"/>
      <c r="H1957" s="17"/>
      <c r="I1957" s="17"/>
      <c r="J1957" s="17"/>
      <c r="K1957" s="17"/>
      <c r="L1957" s="17"/>
    </row>
    <row r="1958">
      <c r="A1958" s="11" t="str">
        <f t="shared" si="1"/>
        <v/>
      </c>
      <c r="B1958" s="16"/>
      <c r="C1958" s="16"/>
      <c r="D1958" s="16"/>
      <c r="E1958" s="16"/>
      <c r="F1958" s="17"/>
      <c r="G1958" s="17"/>
      <c r="H1958" s="17"/>
      <c r="I1958" s="17"/>
      <c r="J1958" s="17"/>
      <c r="K1958" s="17"/>
      <c r="L1958" s="17"/>
    </row>
    <row r="1959">
      <c r="A1959" s="11" t="str">
        <f t="shared" si="1"/>
        <v/>
      </c>
      <c r="B1959" s="16"/>
      <c r="C1959" s="16"/>
      <c r="D1959" s="16"/>
      <c r="E1959" s="16"/>
      <c r="F1959" s="17"/>
      <c r="G1959" s="17"/>
      <c r="H1959" s="17"/>
      <c r="I1959" s="17"/>
      <c r="J1959" s="17"/>
      <c r="K1959" s="17"/>
      <c r="L1959" s="17"/>
    </row>
    <row r="1960">
      <c r="A1960" s="11" t="str">
        <f t="shared" si="1"/>
        <v/>
      </c>
      <c r="B1960" s="16"/>
      <c r="C1960" s="16"/>
      <c r="D1960" s="16"/>
      <c r="E1960" s="16"/>
      <c r="F1960" s="17"/>
      <c r="G1960" s="17"/>
      <c r="H1960" s="17"/>
      <c r="I1960" s="17"/>
      <c r="J1960" s="17"/>
      <c r="K1960" s="17"/>
      <c r="L1960" s="17"/>
    </row>
    <row r="1961">
      <c r="A1961" s="11" t="str">
        <f t="shared" si="1"/>
        <v/>
      </c>
      <c r="B1961" s="16"/>
      <c r="C1961" s="16"/>
      <c r="D1961" s="16"/>
      <c r="E1961" s="16"/>
      <c r="F1961" s="17"/>
      <c r="G1961" s="17"/>
      <c r="H1961" s="17"/>
      <c r="I1961" s="17"/>
      <c r="J1961" s="17"/>
      <c r="K1961" s="17"/>
      <c r="L1961" s="17"/>
    </row>
    <row r="1962">
      <c r="A1962" s="11" t="str">
        <f t="shared" si="1"/>
        <v/>
      </c>
      <c r="B1962" s="16"/>
      <c r="C1962" s="16"/>
      <c r="D1962" s="16"/>
      <c r="E1962" s="16"/>
      <c r="F1962" s="17"/>
      <c r="G1962" s="17"/>
      <c r="H1962" s="17"/>
      <c r="I1962" s="17"/>
      <c r="J1962" s="17"/>
      <c r="K1962" s="17"/>
      <c r="L1962" s="17"/>
    </row>
    <row r="1963">
      <c r="A1963" s="11" t="str">
        <f t="shared" si="1"/>
        <v/>
      </c>
      <c r="B1963" s="16"/>
      <c r="C1963" s="16"/>
      <c r="D1963" s="16"/>
      <c r="E1963" s="16"/>
      <c r="F1963" s="17"/>
      <c r="G1963" s="17"/>
      <c r="H1963" s="17"/>
      <c r="I1963" s="17"/>
      <c r="J1963" s="17"/>
      <c r="K1963" s="17"/>
      <c r="L1963" s="17"/>
    </row>
    <row r="1964">
      <c r="A1964" s="11" t="str">
        <f t="shared" si="1"/>
        <v/>
      </c>
      <c r="B1964" s="16"/>
      <c r="C1964" s="16"/>
      <c r="D1964" s="16"/>
      <c r="E1964" s="16"/>
      <c r="F1964" s="17"/>
      <c r="G1964" s="17"/>
      <c r="H1964" s="17"/>
      <c r="I1964" s="17"/>
      <c r="J1964" s="17"/>
      <c r="K1964" s="17"/>
      <c r="L1964" s="17"/>
    </row>
    <row r="1965">
      <c r="A1965" s="11" t="str">
        <f t="shared" si="1"/>
        <v/>
      </c>
      <c r="B1965" s="16"/>
      <c r="C1965" s="16"/>
      <c r="D1965" s="16"/>
      <c r="E1965" s="16"/>
      <c r="F1965" s="17"/>
      <c r="G1965" s="17"/>
      <c r="H1965" s="17"/>
      <c r="I1965" s="17"/>
      <c r="J1965" s="17"/>
      <c r="K1965" s="17"/>
      <c r="L1965" s="17"/>
    </row>
    <row r="1966">
      <c r="A1966" s="11" t="str">
        <f t="shared" si="1"/>
        <v/>
      </c>
      <c r="B1966" s="16"/>
      <c r="C1966" s="16"/>
      <c r="D1966" s="16"/>
      <c r="E1966" s="16"/>
      <c r="F1966" s="17"/>
      <c r="G1966" s="17"/>
      <c r="H1966" s="17"/>
      <c r="I1966" s="17"/>
      <c r="J1966" s="17"/>
      <c r="K1966" s="17"/>
      <c r="L1966" s="17"/>
    </row>
    <row r="1967">
      <c r="A1967" s="11" t="str">
        <f t="shared" si="1"/>
        <v/>
      </c>
      <c r="B1967" s="16"/>
      <c r="C1967" s="16"/>
      <c r="D1967" s="16"/>
      <c r="E1967" s="16"/>
      <c r="F1967" s="17"/>
      <c r="G1967" s="17"/>
      <c r="H1967" s="17"/>
      <c r="I1967" s="17"/>
      <c r="J1967" s="17"/>
      <c r="K1967" s="17"/>
      <c r="L1967" s="17"/>
    </row>
    <row r="1968">
      <c r="A1968" s="11" t="str">
        <f t="shared" si="1"/>
        <v/>
      </c>
      <c r="B1968" s="16"/>
      <c r="C1968" s="16"/>
      <c r="D1968" s="16"/>
      <c r="E1968" s="16"/>
      <c r="F1968" s="17"/>
      <c r="G1968" s="17"/>
      <c r="H1968" s="17"/>
      <c r="I1968" s="17"/>
      <c r="J1968" s="17"/>
      <c r="K1968" s="17"/>
      <c r="L1968" s="17"/>
    </row>
    <row r="1969">
      <c r="A1969" s="11" t="str">
        <f t="shared" si="1"/>
        <v/>
      </c>
      <c r="B1969" s="16"/>
      <c r="C1969" s="16"/>
      <c r="D1969" s="16"/>
      <c r="E1969" s="16"/>
      <c r="F1969" s="17"/>
      <c r="G1969" s="17"/>
      <c r="H1969" s="17"/>
      <c r="I1969" s="17"/>
      <c r="J1969" s="17"/>
      <c r="K1969" s="17"/>
      <c r="L1969" s="17"/>
    </row>
    <row r="1970">
      <c r="A1970" s="11" t="str">
        <f t="shared" si="1"/>
        <v/>
      </c>
      <c r="B1970" s="16"/>
      <c r="C1970" s="16"/>
      <c r="D1970" s="16"/>
      <c r="E1970" s="16"/>
      <c r="F1970" s="17"/>
      <c r="G1970" s="17"/>
      <c r="H1970" s="17"/>
      <c r="I1970" s="17"/>
      <c r="J1970" s="17"/>
      <c r="K1970" s="17"/>
      <c r="L1970" s="17"/>
    </row>
    <row r="1971">
      <c r="A1971" s="11" t="str">
        <f t="shared" si="1"/>
        <v/>
      </c>
      <c r="B1971" s="16"/>
      <c r="C1971" s="16"/>
      <c r="D1971" s="16"/>
      <c r="E1971" s="16"/>
      <c r="F1971" s="17"/>
      <c r="G1971" s="17"/>
      <c r="H1971" s="17"/>
      <c r="I1971" s="17"/>
      <c r="J1971" s="17"/>
      <c r="K1971" s="17"/>
      <c r="L1971" s="17"/>
    </row>
    <row r="1972">
      <c r="A1972" s="11" t="str">
        <f t="shared" si="1"/>
        <v/>
      </c>
      <c r="B1972" s="16"/>
      <c r="C1972" s="16"/>
      <c r="D1972" s="16"/>
      <c r="E1972" s="16"/>
      <c r="F1972" s="17"/>
      <c r="G1972" s="17"/>
      <c r="H1972" s="17"/>
      <c r="I1972" s="17"/>
      <c r="J1972" s="17"/>
      <c r="K1972" s="17"/>
      <c r="L1972" s="17"/>
    </row>
    <row r="1973">
      <c r="A1973" s="11" t="str">
        <f t="shared" si="1"/>
        <v/>
      </c>
      <c r="B1973" s="16"/>
      <c r="C1973" s="16"/>
      <c r="D1973" s="16"/>
      <c r="E1973" s="16"/>
      <c r="F1973" s="17"/>
      <c r="G1973" s="17"/>
      <c r="H1973" s="17"/>
      <c r="I1973" s="17"/>
      <c r="J1973" s="17"/>
      <c r="K1973" s="17"/>
      <c r="L1973" s="17"/>
    </row>
    <row r="1974">
      <c r="A1974" s="11" t="str">
        <f t="shared" si="1"/>
        <v/>
      </c>
      <c r="B1974" s="16"/>
      <c r="C1974" s="16"/>
      <c r="D1974" s="16"/>
      <c r="E1974" s="16"/>
      <c r="F1974" s="17"/>
      <c r="G1974" s="17"/>
      <c r="H1974" s="17"/>
      <c r="I1974" s="17"/>
      <c r="J1974" s="17"/>
      <c r="K1974" s="17"/>
      <c r="L1974" s="17"/>
    </row>
    <row r="1975">
      <c r="A1975" s="11" t="str">
        <f t="shared" si="1"/>
        <v/>
      </c>
      <c r="B1975" s="16"/>
      <c r="C1975" s="16"/>
      <c r="D1975" s="16"/>
      <c r="E1975" s="16"/>
      <c r="F1975" s="17"/>
      <c r="G1975" s="17"/>
      <c r="H1975" s="17"/>
      <c r="I1975" s="17"/>
      <c r="J1975" s="17"/>
      <c r="K1975" s="17"/>
      <c r="L1975" s="17"/>
    </row>
    <row r="1976">
      <c r="A1976" s="11" t="str">
        <f t="shared" si="1"/>
        <v/>
      </c>
      <c r="B1976" s="16"/>
      <c r="C1976" s="16"/>
      <c r="D1976" s="16"/>
      <c r="E1976" s="16"/>
      <c r="F1976" s="17"/>
      <c r="G1976" s="17"/>
      <c r="H1976" s="17"/>
      <c r="I1976" s="17"/>
      <c r="J1976" s="17"/>
      <c r="K1976" s="17"/>
      <c r="L1976" s="17"/>
    </row>
    <row r="1977">
      <c r="A1977" s="11" t="str">
        <f t="shared" si="1"/>
        <v/>
      </c>
      <c r="B1977" s="16"/>
      <c r="C1977" s="16"/>
      <c r="D1977" s="16"/>
      <c r="E1977" s="16"/>
      <c r="F1977" s="17"/>
      <c r="G1977" s="17"/>
      <c r="H1977" s="17"/>
      <c r="I1977" s="17"/>
      <c r="J1977" s="17"/>
      <c r="K1977" s="17"/>
      <c r="L1977" s="17"/>
    </row>
    <row r="1978">
      <c r="A1978" s="11" t="str">
        <f t="shared" si="1"/>
        <v/>
      </c>
      <c r="B1978" s="16"/>
      <c r="C1978" s="16"/>
      <c r="D1978" s="16"/>
      <c r="E1978" s="16"/>
      <c r="F1978" s="17"/>
      <c r="G1978" s="17"/>
      <c r="H1978" s="17"/>
      <c r="I1978" s="17"/>
      <c r="J1978" s="17"/>
      <c r="K1978" s="17"/>
      <c r="L1978" s="17"/>
    </row>
    <row r="1979">
      <c r="A1979" s="11" t="str">
        <f t="shared" si="1"/>
        <v/>
      </c>
      <c r="B1979" s="16"/>
      <c r="C1979" s="16"/>
      <c r="D1979" s="16"/>
      <c r="E1979" s="16"/>
      <c r="F1979" s="17"/>
      <c r="G1979" s="17"/>
      <c r="H1979" s="17"/>
      <c r="I1979" s="17"/>
      <c r="J1979" s="17"/>
      <c r="K1979" s="17"/>
      <c r="L1979" s="17"/>
    </row>
    <row r="1980">
      <c r="A1980" s="11" t="str">
        <f t="shared" si="1"/>
        <v/>
      </c>
      <c r="B1980" s="16"/>
      <c r="C1980" s="16"/>
      <c r="D1980" s="16"/>
      <c r="E1980" s="16"/>
      <c r="F1980" s="17"/>
      <c r="G1980" s="17"/>
      <c r="H1980" s="17"/>
      <c r="I1980" s="17"/>
      <c r="J1980" s="17"/>
      <c r="K1980" s="17"/>
      <c r="L1980" s="17"/>
    </row>
    <row r="1981">
      <c r="A1981" s="11" t="str">
        <f t="shared" si="1"/>
        <v/>
      </c>
      <c r="B1981" s="16"/>
      <c r="C1981" s="16"/>
      <c r="D1981" s="16"/>
      <c r="E1981" s="16"/>
      <c r="F1981" s="17"/>
      <c r="G1981" s="17"/>
      <c r="H1981" s="17"/>
      <c r="I1981" s="17"/>
      <c r="J1981" s="17"/>
      <c r="K1981" s="17"/>
      <c r="L1981" s="17"/>
    </row>
    <row r="1982">
      <c r="A1982" s="11" t="str">
        <f t="shared" si="1"/>
        <v/>
      </c>
      <c r="B1982" s="16"/>
      <c r="C1982" s="16"/>
      <c r="D1982" s="16"/>
      <c r="E1982" s="16"/>
      <c r="F1982" s="17"/>
      <c r="G1982" s="17"/>
      <c r="H1982" s="17"/>
      <c r="I1982" s="17"/>
      <c r="J1982" s="17"/>
      <c r="K1982" s="17"/>
      <c r="L1982" s="17"/>
    </row>
    <row r="1983">
      <c r="A1983" s="11" t="str">
        <f t="shared" si="1"/>
        <v/>
      </c>
      <c r="B1983" s="16"/>
      <c r="C1983" s="16"/>
      <c r="D1983" s="16"/>
      <c r="E1983" s="16"/>
      <c r="F1983" s="17"/>
      <c r="G1983" s="17"/>
      <c r="H1983" s="17"/>
      <c r="I1983" s="17"/>
      <c r="J1983" s="17"/>
      <c r="K1983" s="17"/>
      <c r="L1983" s="17"/>
    </row>
    <row r="1984">
      <c r="A1984" s="11" t="str">
        <f t="shared" si="1"/>
        <v/>
      </c>
      <c r="B1984" s="16"/>
      <c r="C1984" s="16"/>
      <c r="D1984" s="16"/>
      <c r="E1984" s="16"/>
      <c r="F1984" s="17"/>
      <c r="G1984" s="17"/>
      <c r="H1984" s="17"/>
      <c r="I1984" s="17"/>
      <c r="J1984" s="17"/>
      <c r="K1984" s="17"/>
      <c r="L1984" s="17"/>
    </row>
    <row r="1985">
      <c r="A1985" s="11" t="str">
        <f t="shared" si="1"/>
        <v/>
      </c>
      <c r="B1985" s="16"/>
      <c r="C1985" s="16"/>
      <c r="D1985" s="16"/>
      <c r="E1985" s="16"/>
      <c r="F1985" s="17"/>
      <c r="G1985" s="17"/>
      <c r="H1985" s="17"/>
      <c r="I1985" s="17"/>
      <c r="J1985" s="17"/>
      <c r="K1985" s="17"/>
      <c r="L1985" s="17"/>
    </row>
    <row r="1986">
      <c r="A1986" s="11" t="str">
        <f t="shared" si="1"/>
        <v/>
      </c>
      <c r="B1986" s="16"/>
      <c r="C1986" s="16"/>
      <c r="D1986" s="16"/>
      <c r="E1986" s="16"/>
      <c r="F1986" s="17"/>
      <c r="G1986" s="17"/>
      <c r="H1986" s="17"/>
      <c r="I1986" s="17"/>
      <c r="J1986" s="17"/>
      <c r="K1986" s="17"/>
      <c r="L1986" s="17"/>
    </row>
    <row r="1987">
      <c r="A1987" s="11" t="str">
        <f t="shared" si="1"/>
        <v/>
      </c>
      <c r="B1987" s="16"/>
      <c r="C1987" s="16"/>
      <c r="D1987" s="16"/>
      <c r="E1987" s="16"/>
      <c r="F1987" s="17"/>
      <c r="G1987" s="17"/>
      <c r="H1987" s="17"/>
      <c r="I1987" s="17"/>
      <c r="J1987" s="17"/>
      <c r="K1987" s="17"/>
      <c r="L1987" s="17"/>
    </row>
    <row r="1988">
      <c r="A1988" s="11" t="str">
        <f t="shared" si="1"/>
        <v/>
      </c>
      <c r="B1988" s="16"/>
      <c r="C1988" s="16"/>
      <c r="D1988" s="16"/>
      <c r="E1988" s="16"/>
      <c r="F1988" s="17"/>
      <c r="G1988" s="17"/>
      <c r="H1988" s="17"/>
      <c r="I1988" s="17"/>
      <c r="J1988" s="17"/>
      <c r="K1988" s="17"/>
      <c r="L1988" s="17"/>
    </row>
    <row r="1989">
      <c r="A1989" s="11" t="str">
        <f t="shared" si="1"/>
        <v/>
      </c>
      <c r="B1989" s="16"/>
      <c r="C1989" s="16"/>
      <c r="D1989" s="16"/>
      <c r="E1989" s="16"/>
      <c r="F1989" s="17"/>
      <c r="G1989" s="17"/>
      <c r="H1989" s="17"/>
      <c r="I1989" s="17"/>
      <c r="J1989" s="17"/>
      <c r="K1989" s="17"/>
      <c r="L1989" s="17"/>
    </row>
    <row r="1990">
      <c r="A1990" s="11" t="str">
        <f t="shared" si="1"/>
        <v/>
      </c>
      <c r="B1990" s="16"/>
      <c r="C1990" s="16"/>
      <c r="D1990" s="16"/>
      <c r="E1990" s="16"/>
      <c r="F1990" s="17"/>
      <c r="G1990" s="17"/>
      <c r="H1990" s="17"/>
      <c r="I1990" s="17"/>
      <c r="J1990" s="17"/>
      <c r="K1990" s="17"/>
      <c r="L1990" s="17"/>
    </row>
    <row r="1991">
      <c r="A1991" s="11" t="str">
        <f t="shared" si="1"/>
        <v/>
      </c>
      <c r="B1991" s="16"/>
      <c r="C1991" s="16"/>
      <c r="D1991" s="16"/>
      <c r="E1991" s="16"/>
      <c r="F1991" s="17"/>
      <c r="G1991" s="17"/>
      <c r="H1991" s="17"/>
      <c r="I1991" s="17"/>
      <c r="J1991" s="17"/>
      <c r="K1991" s="17"/>
      <c r="L1991" s="17"/>
    </row>
    <row r="1992">
      <c r="A1992" s="11" t="str">
        <f t="shared" si="1"/>
        <v/>
      </c>
      <c r="B1992" s="16"/>
      <c r="C1992" s="16"/>
      <c r="D1992" s="16"/>
      <c r="E1992" s="16"/>
      <c r="F1992" s="17"/>
      <c r="G1992" s="17"/>
      <c r="H1992" s="17"/>
      <c r="I1992" s="17"/>
      <c r="J1992" s="17"/>
      <c r="K1992" s="17"/>
      <c r="L1992" s="17"/>
    </row>
    <row r="1993">
      <c r="A1993" s="11" t="str">
        <f t="shared" si="1"/>
        <v/>
      </c>
      <c r="B1993" s="16"/>
      <c r="C1993" s="16"/>
      <c r="D1993" s="16"/>
      <c r="E1993" s="16"/>
      <c r="F1993" s="17"/>
      <c r="G1993" s="17"/>
      <c r="H1993" s="17"/>
      <c r="I1993" s="17"/>
      <c r="J1993" s="17"/>
      <c r="K1993" s="17"/>
      <c r="L1993" s="17"/>
    </row>
    <row r="1994">
      <c r="A1994" s="11" t="str">
        <f t="shared" si="1"/>
        <v/>
      </c>
      <c r="B1994" s="16"/>
      <c r="C1994" s="16"/>
      <c r="D1994" s="16"/>
      <c r="E1994" s="16"/>
      <c r="F1994" s="17"/>
      <c r="G1994" s="17"/>
      <c r="H1994" s="17"/>
      <c r="I1994" s="17"/>
      <c r="J1994" s="17"/>
      <c r="K1994" s="17"/>
      <c r="L1994" s="17"/>
    </row>
    <row r="1995">
      <c r="A1995" s="11" t="str">
        <f t="shared" si="1"/>
        <v/>
      </c>
      <c r="B1995" s="16"/>
      <c r="C1995" s="16"/>
      <c r="D1995" s="16"/>
      <c r="E1995" s="16"/>
      <c r="F1995" s="17"/>
      <c r="G1995" s="17"/>
      <c r="H1995" s="17"/>
      <c r="I1995" s="17"/>
      <c r="J1995" s="17"/>
      <c r="K1995" s="17"/>
      <c r="L1995" s="17"/>
    </row>
    <row r="1996">
      <c r="A1996" s="11" t="str">
        <f t="shared" si="1"/>
        <v/>
      </c>
      <c r="B1996" s="16"/>
      <c r="C1996" s="16"/>
      <c r="D1996" s="16"/>
      <c r="E1996" s="16"/>
      <c r="F1996" s="17"/>
      <c r="G1996" s="17"/>
      <c r="H1996" s="17"/>
      <c r="I1996" s="17"/>
      <c r="J1996" s="17"/>
      <c r="K1996" s="17"/>
      <c r="L1996" s="17"/>
    </row>
    <row r="1997">
      <c r="A1997" s="11" t="str">
        <f t="shared" si="1"/>
        <v/>
      </c>
      <c r="B1997" s="16"/>
      <c r="C1997" s="16"/>
      <c r="D1997" s="16"/>
      <c r="E1997" s="16"/>
      <c r="F1997" s="17"/>
      <c r="G1997" s="17"/>
      <c r="H1997" s="17"/>
      <c r="I1997" s="17"/>
      <c r="J1997" s="17"/>
      <c r="K1997" s="17"/>
      <c r="L1997" s="17"/>
    </row>
    <row r="1998">
      <c r="A1998" s="11" t="str">
        <f t="shared" si="1"/>
        <v/>
      </c>
      <c r="B1998" s="16"/>
      <c r="C1998" s="16"/>
      <c r="D1998" s="16"/>
      <c r="E1998" s="16"/>
      <c r="F1998" s="17"/>
      <c r="G1998" s="17"/>
      <c r="H1998" s="17"/>
      <c r="I1998" s="17"/>
      <c r="J1998" s="17"/>
      <c r="K1998" s="17"/>
      <c r="L1998" s="17"/>
    </row>
  </sheetData>
  <autoFilter ref="$A$3:$L$1998"/>
  <mergeCells count="3">
    <mergeCell ref="A2:F2"/>
    <mergeCell ref="A1:L1"/>
    <mergeCell ref="G2:J2"/>
  </mergeCells>
  <conditionalFormatting sqref="G5:J1998">
    <cfRule type="containsBlanks" dxfId="0" priority="1">
      <formula>LEN(TRIM(G5))=0</formula>
    </cfRule>
  </conditionalFormatting>
  <conditionalFormatting sqref="A6:F1998">
    <cfRule type="containsBlanks" dxfId="1" priority="2">
      <formula>LEN(TRIM(A6))=0</formula>
    </cfRule>
  </conditionalFormatting>
  <drawing r:id="rId1"/>
</worksheet>
</file>